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eminar 21 February\final\"/>
    </mc:Choice>
  </mc:AlternateContent>
  <xr:revisionPtr revIDLastSave="0" documentId="13_ncr:1_{C0ED3956-C5D3-4E8C-9EF0-F1C4203F66E6}" xr6:coauthVersionLast="47" xr6:coauthVersionMax="47" xr10:uidLastSave="{00000000-0000-0000-0000-000000000000}"/>
  <bookViews>
    <workbookView xWindow="-120" yWindow="-120" windowWidth="20730" windowHeight="11160" activeTab="2" xr2:uid="{26A9574A-ABC2-4E01-B4E3-13D390E7FA8A}"/>
  </bookViews>
  <sheets>
    <sheet name="Option valuation" sheetId="6" r:id="rId1"/>
    <sheet name="Intermediate lattices" sheetId="4" r:id="rId2"/>
    <sheet name="Demand latti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3" l="1"/>
  <c r="B6" i="3"/>
  <c r="B5" i="3"/>
  <c r="B3" i="3"/>
  <c r="E9" i="3" s="1"/>
  <c r="A11" i="4" s="1"/>
  <c r="A26" i="4" l="1"/>
  <c r="A59" i="4" s="1"/>
  <c r="A44" i="4"/>
  <c r="B14" i="6"/>
  <c r="B10" i="6"/>
  <c r="B11" i="6" s="1"/>
  <c r="B16" i="6" s="1"/>
  <c r="B9" i="3"/>
  <c r="F8" i="3" s="1"/>
  <c r="B10" i="4" s="1"/>
  <c r="G7" i="3" l="1"/>
  <c r="C9" i="4" s="1"/>
  <c r="B43" i="4"/>
  <c r="B25" i="4"/>
  <c r="B58" i="4" s="1"/>
  <c r="A74" i="4"/>
  <c r="B10" i="3"/>
  <c r="F10" i="3" s="1"/>
  <c r="B12" i="4" s="1"/>
  <c r="B27" i="4" l="1"/>
  <c r="B60" i="4" s="1"/>
  <c r="B45" i="4"/>
  <c r="H6" i="3"/>
  <c r="C42" i="4"/>
  <c r="C24" i="4"/>
  <c r="C57" i="4" s="1"/>
  <c r="B73" i="4"/>
  <c r="B17" i="6"/>
  <c r="G9" i="3"/>
  <c r="C11" i="4" s="1"/>
  <c r="G11" i="3"/>
  <c r="C13" i="4" s="1"/>
  <c r="D8" i="4" l="1"/>
  <c r="D41" i="4" s="1"/>
  <c r="I5" i="3"/>
  <c r="J4" i="3" s="1"/>
  <c r="C72" i="4"/>
  <c r="C26" i="4"/>
  <c r="C59" i="4" s="1"/>
  <c r="C44" i="4"/>
  <c r="C28" i="4"/>
  <c r="C61" i="4" s="1"/>
  <c r="C46" i="4"/>
  <c r="D23" i="4"/>
  <c r="D56" i="4" s="1"/>
  <c r="B75" i="4"/>
  <c r="H8" i="3"/>
  <c r="H12" i="3"/>
  <c r="H10" i="3"/>
  <c r="D12" i="4" l="1"/>
  <c r="D45" i="4" s="1"/>
  <c r="I9" i="3"/>
  <c r="D14" i="4"/>
  <c r="D47" i="4" s="1"/>
  <c r="I11" i="3"/>
  <c r="I13" i="3"/>
  <c r="D10" i="4"/>
  <c r="D43" i="4" s="1"/>
  <c r="I7" i="3"/>
  <c r="E7" i="4"/>
  <c r="E40" i="4" s="1"/>
  <c r="E22" i="4"/>
  <c r="E55" i="4" s="1"/>
  <c r="D71" i="4"/>
  <c r="D29" i="4"/>
  <c r="D62" i="4" s="1"/>
  <c r="D27" i="4"/>
  <c r="D60" i="4" s="1"/>
  <c r="D25" i="4"/>
  <c r="D58" i="4" s="1"/>
  <c r="C76" i="4"/>
  <c r="C74" i="4"/>
  <c r="E70" i="4" l="1"/>
  <c r="J6" i="3"/>
  <c r="E24" i="4"/>
  <c r="E57" i="4" s="1"/>
  <c r="E9" i="4"/>
  <c r="E42" i="4" s="1"/>
  <c r="J14" i="3"/>
  <c r="E15" i="4"/>
  <c r="E48" i="4" s="1"/>
  <c r="E30" i="4"/>
  <c r="E63" i="4" s="1"/>
  <c r="J12" i="3"/>
  <c r="J10" i="3"/>
  <c r="E13" i="4"/>
  <c r="E46" i="4" s="1"/>
  <c r="E28" i="4"/>
  <c r="E61" i="4" s="1"/>
  <c r="F6" i="4"/>
  <c r="F39" i="4" s="1"/>
  <c r="F21" i="4"/>
  <c r="F54" i="4" s="1"/>
  <c r="J8" i="3"/>
  <c r="E11" i="4"/>
  <c r="E44" i="4" s="1"/>
  <c r="E26" i="4"/>
  <c r="E59" i="4" s="1"/>
  <c r="D75" i="4"/>
  <c r="D73" i="4"/>
  <c r="D77" i="4"/>
  <c r="F69" i="4" l="1"/>
  <c r="F84" i="4" s="1"/>
  <c r="K9" i="6" s="1"/>
  <c r="E72" i="4"/>
  <c r="E74" i="4"/>
  <c r="F14" i="4"/>
  <c r="F47" i="4" s="1"/>
  <c r="F29" i="4"/>
  <c r="F62" i="4" s="1"/>
  <c r="F10" i="4"/>
  <c r="F43" i="4" s="1"/>
  <c r="F25" i="4"/>
  <c r="F58" i="4" s="1"/>
  <c r="E78" i="4"/>
  <c r="F31" i="4"/>
  <c r="F64" i="4" s="1"/>
  <c r="F16" i="4"/>
  <c r="F49" i="4" s="1"/>
  <c r="F12" i="4"/>
  <c r="F45" i="4" s="1"/>
  <c r="F27" i="4"/>
  <c r="F60" i="4" s="1"/>
  <c r="E76" i="4"/>
  <c r="F23" i="4"/>
  <c r="F56" i="4" s="1"/>
  <c r="F8" i="4"/>
  <c r="F41" i="4" s="1"/>
  <c r="F79" i="4" l="1"/>
  <c r="F94" i="4" s="1"/>
  <c r="K29" i="6" s="1"/>
  <c r="K30" i="6" s="1"/>
  <c r="K32" i="6" s="1"/>
  <c r="F71" i="4"/>
  <c r="F86" i="4" s="1"/>
  <c r="E85" i="4" s="1"/>
  <c r="J11" i="6" s="1"/>
  <c r="J12" i="6" s="1"/>
  <c r="F77" i="4"/>
  <c r="F92" i="4" s="1"/>
  <c r="F73" i="4"/>
  <c r="F88" i="4" s="1"/>
  <c r="F75" i="4"/>
  <c r="F90" i="4" s="1"/>
  <c r="K10" i="6"/>
  <c r="K12" i="6" s="1"/>
  <c r="K13" i="6" l="1"/>
  <c r="K14" i="6" s="1"/>
  <c r="K16" i="6" s="1"/>
  <c r="J13" i="6" s="1"/>
  <c r="J14" i="6" s="1"/>
  <c r="E89" i="4"/>
  <c r="J19" i="6" s="1"/>
  <c r="J20" i="6" s="1"/>
  <c r="K17" i="6"/>
  <c r="K18" i="6" s="1"/>
  <c r="K20" i="6" s="1"/>
  <c r="E87" i="4"/>
  <c r="D86" i="4" s="1"/>
  <c r="I13" i="6" s="1"/>
  <c r="I14" i="6" s="1"/>
  <c r="K25" i="6"/>
  <c r="K26" i="6" s="1"/>
  <c r="K28" i="6" s="1"/>
  <c r="J29" i="6" s="1"/>
  <c r="E93" i="4"/>
  <c r="J27" i="6" s="1"/>
  <c r="J28" i="6" s="1"/>
  <c r="E91" i="4"/>
  <c r="K21" i="6"/>
  <c r="K22" i="6" s="1"/>
  <c r="K24" i="6" s="1"/>
  <c r="J17" i="6" l="1"/>
  <c r="J25" i="6"/>
  <c r="J30" i="6"/>
  <c r="D88" i="4"/>
  <c r="C87" i="4" s="1"/>
  <c r="J15" i="6"/>
  <c r="J16" i="6" s="1"/>
  <c r="J18" i="6" s="1"/>
  <c r="I15" i="6" s="1"/>
  <c r="I16" i="6" s="1"/>
  <c r="J23" i="6"/>
  <c r="J24" i="6" s="1"/>
  <c r="D92" i="4"/>
  <c r="I25" i="6" s="1"/>
  <c r="I26" i="6" s="1"/>
  <c r="D90" i="4"/>
  <c r="J21" i="6"/>
  <c r="J22" i="6" s="1"/>
  <c r="J26" i="6" l="1"/>
  <c r="I23" i="6" s="1"/>
  <c r="I17" i="6"/>
  <c r="I18" i="6" s="1"/>
  <c r="C89" i="4"/>
  <c r="H19" i="6" s="1"/>
  <c r="H20" i="6" s="1"/>
  <c r="I19" i="6"/>
  <c r="H15" i="6"/>
  <c r="H16" i="6" s="1"/>
  <c r="C91" i="4"/>
  <c r="I21" i="6"/>
  <c r="I22" i="6" s="1"/>
  <c r="I27" i="6" l="1"/>
  <c r="I28" i="6" s="1"/>
  <c r="I24" i="6"/>
  <c r="B88" i="4"/>
  <c r="G17" i="6" s="1"/>
  <c r="G18" i="6" s="1"/>
  <c r="I20" i="6"/>
  <c r="H17" i="6" s="1"/>
  <c r="H18" i="6" s="1"/>
  <c r="H23" i="6"/>
  <c r="H24" i="6" s="1"/>
  <c r="B90" i="4"/>
  <c r="G21" i="6" s="1"/>
  <c r="G22" i="6" s="1"/>
  <c r="H25" i="6" l="1"/>
  <c r="H26" i="6" s="1"/>
  <c r="H21" i="6"/>
  <c r="H22" i="6" s="1"/>
  <c r="G19" i="6" s="1"/>
  <c r="G20" i="6" s="1"/>
  <c r="A89" i="4"/>
  <c r="F19" i="6" s="1"/>
  <c r="F20" i="6" s="1"/>
  <c r="G23" i="6" l="1"/>
  <c r="G24" i="6" s="1"/>
  <c r="F21" i="6" s="1"/>
  <c r="F22" i="6" s="1"/>
  <c r="G5" i="6" s="1"/>
</calcChain>
</file>

<file path=xl/sharedStrings.xml><?xml version="1.0" encoding="utf-8"?>
<sst xmlns="http://schemas.openxmlformats.org/spreadsheetml/2006/main" count="85" uniqueCount="67">
  <si>
    <t>Initial demand at time 0</t>
  </si>
  <si>
    <t>Demand at time 1</t>
  </si>
  <si>
    <t>Demand at time 2</t>
  </si>
  <si>
    <t>Demand at time 3</t>
  </si>
  <si>
    <t>Demand at time 0</t>
  </si>
  <si>
    <t>Up value, U</t>
  </si>
  <si>
    <t>Down value, D</t>
  </si>
  <si>
    <t>LMP at time 0</t>
  </si>
  <si>
    <t>LMP at time 1</t>
  </si>
  <si>
    <t>LMP at time 2</t>
  </si>
  <si>
    <t>LMP at time 3</t>
  </si>
  <si>
    <t>Locational marginal price (LMP) can be found as shadow price after solving the optimal power flow for individual demand at bus 1 from the demand lattice</t>
  </si>
  <si>
    <t>MW</t>
  </si>
  <si>
    <t>LMP for case 1 (in $/MWh)</t>
  </si>
  <si>
    <t>LMP for case 2 (in $/MWh)</t>
  </si>
  <si>
    <t>Cost at time 0</t>
  </si>
  <si>
    <t>Cost at time 1</t>
  </si>
  <si>
    <t>Cost at time 2</t>
  </si>
  <si>
    <t>Cost at time 3</t>
  </si>
  <si>
    <t>This is yearly cost paid by the bus 1 community to fulfill their electricity demand and Cost (in $ million) = Demand (MW) * LMP for that particular demand ($/MWh)* 8760 * 10^-6</t>
  </si>
  <si>
    <t>Cost for case 1 (in $ million)</t>
  </si>
  <si>
    <t>Cost for case 2 (in $ million)</t>
  </si>
  <si>
    <t>Net benefit (in $ million) = Cost for case 1 - Cost for case 2</t>
  </si>
  <si>
    <t>Net benefit at time 0</t>
  </si>
  <si>
    <t>Net benefit at time 1</t>
  </si>
  <si>
    <t>Net benefit at time 2</t>
  </si>
  <si>
    <t>Net benefit at time 3</t>
  </si>
  <si>
    <t>Option value of adding a generator</t>
  </si>
  <si>
    <t>$ million</t>
  </si>
  <si>
    <t>Input of demand lattice</t>
  </si>
  <si>
    <t>Output of demand lattice</t>
  </si>
  <si>
    <t>Volatility</t>
  </si>
  <si>
    <t>%/year</t>
  </si>
  <si>
    <t xml:space="preserve">Time-period span </t>
  </si>
  <si>
    <t>year</t>
  </si>
  <si>
    <t>Number of time periods</t>
  </si>
  <si>
    <t>% compounded annually</t>
  </si>
  <si>
    <t>% per annum compounded continuously</t>
  </si>
  <si>
    <t>Risk-neutral probabiliy, q</t>
  </si>
  <si>
    <t>1-q</t>
  </si>
  <si>
    <t>Input of option valuation</t>
  </si>
  <si>
    <t>Initial demand at time 0, S</t>
  </si>
  <si>
    <t>Volatility, σ</t>
  </si>
  <si>
    <t xml:space="preserve">Time-period span, Δ𝑡 </t>
  </si>
  <si>
    <t>Number of time periods, T</t>
  </si>
  <si>
    <t>Risk-free discount rate, r</t>
  </si>
  <si>
    <t>Risk-free discount rate, rf</t>
  </si>
  <si>
    <t>Construction cost, K</t>
  </si>
  <si>
    <t>Option value tree</t>
  </si>
  <si>
    <t>time</t>
  </si>
  <si>
    <t>Option valuation</t>
  </si>
  <si>
    <t>Output of option valuation</t>
  </si>
  <si>
    <t>LMP at time 4</t>
  </si>
  <si>
    <t>LMP at time 5</t>
  </si>
  <si>
    <t>Demand at time 4</t>
  </si>
  <si>
    <t>Demand at time 5</t>
  </si>
  <si>
    <t>Net benefit at time 4</t>
  </si>
  <si>
    <t>Net benefit at time 5</t>
  </si>
  <si>
    <t>Total benefit at time 0</t>
  </si>
  <si>
    <t>Total benefit at time 1</t>
  </si>
  <si>
    <t>Total benefit at time 2</t>
  </si>
  <si>
    <t>Total benefit at time 3</t>
  </si>
  <si>
    <t>Total benefit at time 4</t>
  </si>
  <si>
    <t>Total benefit at time 5</t>
  </si>
  <si>
    <t>Cost at time 4</t>
  </si>
  <si>
    <t>Cost at time 5</t>
  </si>
  <si>
    <t>Total benefit (in $ million) = Net benefit + expected discounted future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</si>
</sst>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4B83-7DFE-4601-A51A-9A586573AB18}">
  <dimension ref="A1:L33"/>
  <sheetViews>
    <sheetView topLeftCell="A4" workbookViewId="0">
      <selection activeCell="E11" sqref="E11"/>
    </sheetView>
  </sheetViews>
  <sheetFormatPr defaultRowHeight="15" x14ac:dyDescent="0.25"/>
  <cols>
    <col min="1" max="1" width="23.7109375" bestFit="1" customWidth="1"/>
    <col min="3" max="3" width="37.42578125" bestFit="1" customWidth="1"/>
    <col min="5" max="5" width="24.140625" customWidth="1"/>
    <col min="6" max="6" width="9.7109375" customWidth="1"/>
    <col min="7" max="7" width="9.28515625" customWidth="1"/>
    <col min="8" max="8" width="9.140625" customWidth="1"/>
    <col min="9" max="9" width="8.85546875" customWidth="1"/>
  </cols>
  <sheetData>
    <row r="1" spans="1:12" ht="28.5" x14ac:dyDescent="0.4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19"/>
      <c r="K1" s="19"/>
      <c r="L1" s="19"/>
    </row>
    <row r="3" spans="1:12" ht="18.75" x14ac:dyDescent="0.3">
      <c r="A3" s="23" t="s">
        <v>40</v>
      </c>
      <c r="B3" s="23"/>
      <c r="C3" s="23"/>
      <c r="E3" s="23" t="s">
        <v>51</v>
      </c>
      <c r="F3" s="23"/>
      <c r="G3" s="23"/>
      <c r="H3" s="23"/>
      <c r="I3" s="23"/>
      <c r="J3" s="23"/>
      <c r="K3" s="23"/>
    </row>
    <row r="4" spans="1:12" ht="19.5" thickBot="1" x14ac:dyDescent="0.35">
      <c r="E4" s="13"/>
      <c r="F4" s="13"/>
      <c r="G4" s="13"/>
      <c r="H4" s="13"/>
      <c r="I4" s="8"/>
      <c r="J4" s="8"/>
    </row>
    <row r="5" spans="1:12" ht="15.75" thickBot="1" x14ac:dyDescent="0.3">
      <c r="A5" s="5" t="s">
        <v>41</v>
      </c>
      <c r="B5" s="9">
        <v>200</v>
      </c>
      <c r="C5" t="s">
        <v>12</v>
      </c>
      <c r="E5" s="24" t="s">
        <v>27</v>
      </c>
      <c r="F5" s="24"/>
      <c r="G5" s="10">
        <f>F22</f>
        <v>0.62271054178204643</v>
      </c>
      <c r="H5" s="12" t="s">
        <v>28</v>
      </c>
    </row>
    <row r="6" spans="1:12" ht="15.75" thickBot="1" x14ac:dyDescent="0.3">
      <c r="A6" s="5" t="s">
        <v>42</v>
      </c>
      <c r="B6" s="9">
        <v>30</v>
      </c>
      <c r="C6" t="s">
        <v>32</v>
      </c>
      <c r="E6" s="12"/>
      <c r="F6" s="12"/>
      <c r="G6" s="18"/>
      <c r="H6" s="12"/>
    </row>
    <row r="7" spans="1:12" ht="15.75" thickBot="1" x14ac:dyDescent="0.3">
      <c r="A7" s="5" t="s">
        <v>43</v>
      </c>
      <c r="B7" s="9">
        <v>1</v>
      </c>
      <c r="C7" t="s">
        <v>34</v>
      </c>
      <c r="E7" s="26" t="s">
        <v>48</v>
      </c>
      <c r="F7" s="26"/>
      <c r="G7" s="26"/>
      <c r="H7" s="26"/>
      <c r="I7" s="26"/>
      <c r="J7" s="26"/>
      <c r="K7" s="26"/>
    </row>
    <row r="8" spans="1:12" ht="15.75" thickBot="1" x14ac:dyDescent="0.3">
      <c r="A8" s="5" t="s">
        <v>44</v>
      </c>
      <c r="B8" s="3">
        <v>5</v>
      </c>
      <c r="E8" s="11" t="s">
        <v>49</v>
      </c>
      <c r="F8" s="11">
        <v>0</v>
      </c>
      <c r="G8" s="11">
        <v>1</v>
      </c>
      <c r="H8" s="11">
        <v>2</v>
      </c>
      <c r="I8" s="11">
        <v>3</v>
      </c>
      <c r="J8" s="21">
        <v>4</v>
      </c>
      <c r="K8" s="21">
        <v>5</v>
      </c>
    </row>
    <row r="9" spans="1:12" ht="15.75" thickTop="1" x14ac:dyDescent="0.25">
      <c r="A9" s="5"/>
      <c r="B9" s="3"/>
      <c r="E9" s="21"/>
      <c r="F9" s="21"/>
      <c r="G9" s="21"/>
      <c r="H9" s="21"/>
      <c r="I9" s="21"/>
      <c r="K9" s="15">
        <f>'Intermediate lattices'!F84</f>
        <v>0.98148990640404321</v>
      </c>
    </row>
    <row r="10" spans="1:12" ht="15.75" thickBot="1" x14ac:dyDescent="0.3">
      <c r="A10" s="5" t="s">
        <v>5</v>
      </c>
      <c r="B10" s="6">
        <f>EXP((B6/100)*SQRT(B7))</f>
        <v>1.3498588075760032</v>
      </c>
      <c r="E10" s="21"/>
      <c r="F10" s="21"/>
      <c r="G10" s="21"/>
      <c r="H10" s="21"/>
      <c r="I10" s="21"/>
      <c r="K10" s="16">
        <f>IF(K9-$B$19&lt;0,0,K9-$B$19)</f>
        <v>0.88148990640404323</v>
      </c>
    </row>
    <row r="11" spans="1:12" ht="15.75" thickTop="1" x14ac:dyDescent="0.25">
      <c r="A11" s="5" t="s">
        <v>6</v>
      </c>
      <c r="B11" s="1">
        <f>1/B10</f>
        <v>0.74081822068171788</v>
      </c>
      <c r="E11" s="21"/>
      <c r="F11" s="21"/>
      <c r="G11" s="21"/>
      <c r="H11" s="21"/>
      <c r="I11" s="21"/>
      <c r="J11" s="15">
        <f>'Intermediate lattices'!E85</f>
        <v>1.4542112121586079</v>
      </c>
      <c r="K11" s="16">
        <v>0</v>
      </c>
    </row>
    <row r="12" spans="1:12" ht="15.75" thickBot="1" x14ac:dyDescent="0.3">
      <c r="A12" s="5"/>
      <c r="E12" s="21"/>
      <c r="F12" s="21"/>
      <c r="G12" s="21"/>
      <c r="H12" s="21"/>
      <c r="I12" s="21"/>
      <c r="J12" s="16">
        <f>IF(J11-$B$19&lt;0,0,J11-$B$19)</f>
        <v>1.3542112121586078</v>
      </c>
      <c r="K12" s="17">
        <f>MAX(K10,K11)</f>
        <v>0.88148990640404323</v>
      </c>
    </row>
    <row r="13" spans="1:12" ht="16.5" thickTop="1" thickBot="1" x14ac:dyDescent="0.3">
      <c r="A13" s="5" t="s">
        <v>45</v>
      </c>
      <c r="B13" s="9">
        <v>5</v>
      </c>
      <c r="C13" t="s">
        <v>36</v>
      </c>
      <c r="F13" s="1"/>
      <c r="G13" s="1"/>
      <c r="H13" s="1"/>
      <c r="I13" s="15">
        <f>'Intermediate lattices'!D86</f>
        <v>1.6159592440301065</v>
      </c>
      <c r="J13" s="16">
        <f>(K12*$B$16+K16*$B$17)*EXP(-$B$14/100)</f>
        <v>0.63186751084121417</v>
      </c>
      <c r="K13" s="15">
        <f>'Intermediate lattices'!F86</f>
        <v>0.53865308134337653</v>
      </c>
    </row>
    <row r="14" spans="1:12" ht="15.75" thickBot="1" x14ac:dyDescent="0.3">
      <c r="A14" s="5" t="s">
        <v>46</v>
      </c>
      <c r="B14" s="7">
        <f>(LN(1+B13/100))*100</f>
        <v>4.8790164169432053</v>
      </c>
      <c r="C14" t="s">
        <v>37</v>
      </c>
      <c r="F14" s="1"/>
      <c r="G14" s="1"/>
      <c r="H14" s="1"/>
      <c r="I14" s="16">
        <f>IF(I13-$B$19&lt;0,0,I13-$B$19)</f>
        <v>1.5159592440301064</v>
      </c>
      <c r="J14" s="17">
        <f>MAX(J12,J13)</f>
        <v>1.3542112121586078</v>
      </c>
      <c r="K14" s="16">
        <f>IF(K13-$B$19&lt;0,0,K13-$B$19)</f>
        <v>0.43865308134337655</v>
      </c>
    </row>
    <row r="15" spans="1:12" ht="15.75" thickTop="1" x14ac:dyDescent="0.25">
      <c r="F15" s="1"/>
      <c r="G15" s="1"/>
      <c r="H15" s="15">
        <f>'Intermediate lattices'!C87</f>
        <v>1.5312986299841624</v>
      </c>
      <c r="I15" s="16">
        <f>(J14*$B$16+J18*$B$17)*EXP(-$B$14/100)</f>
        <v>0.98206806744864883</v>
      </c>
      <c r="J15" s="15">
        <f>'Intermediate lattices'!E87</f>
        <v>0.79808803457104349</v>
      </c>
      <c r="K15" s="16">
        <v>0</v>
      </c>
    </row>
    <row r="16" spans="1:12" ht="15.75" thickBot="1" x14ac:dyDescent="0.3">
      <c r="A16" s="5" t="s">
        <v>38</v>
      </c>
      <c r="B16" s="1">
        <f>IF(((EXP((B14/100)*B7)-B11)/(B10-B11))&lt;=1,((EXP((B14/100)*B7)-B11)/(B10-B11)),"Error")</f>
        <v>0.50765381810580157</v>
      </c>
      <c r="F16" s="1"/>
      <c r="G16" s="1"/>
      <c r="H16" s="16">
        <f>IF(H15-$B$19&lt;0,0,H15-$B$19)</f>
        <v>1.4312986299841624</v>
      </c>
      <c r="I16" s="17">
        <f>MAX(I14,I15)</f>
        <v>1.5159592440301064</v>
      </c>
      <c r="J16" s="16">
        <f>IF(J15-$B$19&lt;0,0,J15-$B$19)</f>
        <v>0.69808803457104351</v>
      </c>
      <c r="K16" s="17">
        <f>MAX(K14,K15)</f>
        <v>0.43865308134337655</v>
      </c>
    </row>
    <row r="17" spans="1:11" ht="15.75" thickTop="1" x14ac:dyDescent="0.25">
      <c r="A17" s="5" t="s">
        <v>39</v>
      </c>
      <c r="B17" s="1">
        <f>1-B16</f>
        <v>0.49234618189419843</v>
      </c>
      <c r="F17" s="1"/>
      <c r="G17" s="15">
        <f>'Intermediate lattices'!B88</f>
        <v>1.2208517199624138</v>
      </c>
      <c r="H17" s="16">
        <f>(I16*$B$16+I20*$B$17)*EXP(-$B$14/100)</f>
        <v>1.0370165174605483</v>
      </c>
      <c r="I17" s="15">
        <f>'Intermediate lattices'!D88</f>
        <v>0.74849664067775745</v>
      </c>
      <c r="J17" s="16">
        <f>(K16*$B$16+K20*$B$17)*EXP(-$B$14/100)</f>
        <v>0.30380592204742957</v>
      </c>
      <c r="K17" s="15">
        <f>'Intermediate lattices'!F88</f>
        <v>0.29561907885914707</v>
      </c>
    </row>
    <row r="18" spans="1:11" ht="15.75" thickBot="1" x14ac:dyDescent="0.3">
      <c r="F18" s="1"/>
      <c r="G18" s="16">
        <f>IF(G17-$B$19&lt;0,0,G17-$B$19)</f>
        <v>1.1208517199624137</v>
      </c>
      <c r="H18" s="17">
        <f>MAX(H16,H17)</f>
        <v>1.4312986299841624</v>
      </c>
      <c r="I18" s="16">
        <f>IF(I17-$B$19&lt;0,0,I17-$B$19)</f>
        <v>0.64849664067775747</v>
      </c>
      <c r="J18" s="17">
        <f>MAX(J16,J17)</f>
        <v>0.69808803457104351</v>
      </c>
      <c r="K18" s="16">
        <f>IF(K17-$B$19&lt;0,0,K17-$B$19)</f>
        <v>0.19561907885914706</v>
      </c>
    </row>
    <row r="19" spans="1:11" ht="16.5" thickTop="1" thickBot="1" x14ac:dyDescent="0.3">
      <c r="A19" s="5" t="s">
        <v>47</v>
      </c>
      <c r="B19" s="9">
        <v>0.1</v>
      </c>
      <c r="C19" t="s">
        <v>28</v>
      </c>
      <c r="F19" s="15">
        <f>'Intermediate lattices'!A89</f>
        <v>0.68698888766696786</v>
      </c>
      <c r="G19" s="16">
        <f>(H18*$B$16+H22*$B$17)*EXP(-$B$14/100)</f>
        <v>0.84907475391235121</v>
      </c>
      <c r="H19" s="15">
        <f>'Intermediate lattices'!C89</f>
        <v>0.39428492415628519</v>
      </c>
      <c r="I19" s="16">
        <f>(J18*$B$16+J22*$B$17)*EXP(-$B$14/100)</f>
        <v>0.38185915564360307</v>
      </c>
      <c r="J19" s="15">
        <f>'Intermediate lattices'!E89</f>
        <v>0.14292586103596766</v>
      </c>
      <c r="K19" s="16">
        <v>0</v>
      </c>
    </row>
    <row r="20" spans="1:11" ht="15.75" thickBot="1" x14ac:dyDescent="0.3">
      <c r="F20" s="16">
        <f>IF(F19-$B$19&lt;0,0,F19-$B$19)</f>
        <v>0.58698888766696788</v>
      </c>
      <c r="G20" s="17">
        <f>MAX(G18,G19)</f>
        <v>1.1208517199624137</v>
      </c>
      <c r="H20" s="16">
        <f>IF(H19-$B$19&lt;0,0,H19-$B$19)</f>
        <v>0.29428492415628515</v>
      </c>
      <c r="I20" s="17">
        <f>MAX(I18,I19)</f>
        <v>0.64849664067775747</v>
      </c>
      <c r="J20" s="16">
        <f>IF(J19-$B$19&lt;0,0,J19-$B$19)</f>
        <v>4.2925861035967655E-2</v>
      </c>
      <c r="K20" s="17">
        <f>MAX(K18,K19)</f>
        <v>0.19561907885914706</v>
      </c>
    </row>
    <row r="21" spans="1:11" ht="15.75" thickTop="1" x14ac:dyDescent="0.25">
      <c r="F21" s="16">
        <f>(G20*$B$16+G24*$B$17)*EXP(-$B$14/100)</f>
        <v>0.62271054178204643</v>
      </c>
      <c r="G21" s="15">
        <f>'Intermediate lattices'!B90</f>
        <v>0.20629447085300703</v>
      </c>
      <c r="H21" s="16">
        <f>(I20*$B$16+I24*$B$17)*EXP(-$B$14/100)</f>
        <v>0.33497624905385542</v>
      </c>
      <c r="I21" s="15">
        <f>'Intermediate lattices'!D90</f>
        <v>6.9101770534255424E-2</v>
      </c>
      <c r="J21" s="16">
        <f>(K20*$B$16+K24*$B$17)*EXP(-$B$14/100)</f>
        <v>9.4577878359224668E-2</v>
      </c>
      <c r="K21" s="15">
        <f>'Intermediate lattices'!F90</f>
        <v>0</v>
      </c>
    </row>
    <row r="22" spans="1:11" ht="15.75" thickBot="1" x14ac:dyDescent="0.3">
      <c r="F22" s="17">
        <f>MAX(F20,F21)</f>
        <v>0.62271054178204643</v>
      </c>
      <c r="G22" s="16">
        <f>IF(G21-$B$19&lt;0,0,G21-$B$19)</f>
        <v>0.10629447085300703</v>
      </c>
      <c r="H22" s="17">
        <f>MAX(H20,H21)</f>
        <v>0.33497624905385542</v>
      </c>
      <c r="I22" s="16">
        <f>IF(I21-$B$19&lt;0,0,I21-$B$19)</f>
        <v>0</v>
      </c>
      <c r="J22" s="17">
        <f>MAX(J20,J21)</f>
        <v>9.4577878359224668E-2</v>
      </c>
      <c r="K22" s="16">
        <f>IF(K21-$B$19&lt;0,0,K21-$B$19)</f>
        <v>0</v>
      </c>
    </row>
    <row r="23" spans="1:11" ht="15.75" thickTop="1" x14ac:dyDescent="0.25">
      <c r="F23" s="1"/>
      <c r="G23" s="16">
        <f>(H22*$B$16+H26*$B$17)*EXP(-$B$14/100)</f>
        <v>0.17232064921345636</v>
      </c>
      <c r="H23" s="15">
        <f>'Intermediate lattices'!C91</f>
        <v>3.3409312047224513E-2</v>
      </c>
      <c r="I23" s="16">
        <f>(J22*$B$16+J26*$B$17)*EXP(-$B$14/100)</f>
        <v>4.5726496245149011E-2</v>
      </c>
      <c r="J23" s="15">
        <f>'Intermediate lattices'!E91</f>
        <v>0</v>
      </c>
      <c r="K23" s="16">
        <v>0</v>
      </c>
    </row>
    <row r="24" spans="1:11" ht="15.75" thickBot="1" x14ac:dyDescent="0.3">
      <c r="F24" s="1"/>
      <c r="G24" s="17">
        <f>MAX(G22,G23)</f>
        <v>0.17232064921345636</v>
      </c>
      <c r="H24" s="16">
        <f>IF(H23-$B$19&lt;0,0,H23-$B$19)</f>
        <v>0</v>
      </c>
      <c r="I24" s="17">
        <f>MAX(I22,I23)</f>
        <v>4.5726496245149011E-2</v>
      </c>
      <c r="J24" s="16">
        <f>IF(J23-$B$19&lt;0,0,J23-$B$19)</f>
        <v>0</v>
      </c>
      <c r="K24" s="17">
        <f>MAX(K22,K23)</f>
        <v>0</v>
      </c>
    </row>
    <row r="25" spans="1:11" ht="15.75" thickTop="1" x14ac:dyDescent="0.25">
      <c r="E25" s="14"/>
      <c r="F25" s="1"/>
      <c r="G25" s="1"/>
      <c r="H25" s="16">
        <f>(I24*$B$16+I28*$B$17)*EXP(-$B$14/100)</f>
        <v>2.2107838483286183E-2</v>
      </c>
      <c r="I25" s="15">
        <f>'Intermediate lattices'!D92</f>
        <v>0</v>
      </c>
      <c r="J25" s="16">
        <f>(K24*$B$16+K28*$B$17)*EXP(-$B$14/100)</f>
        <v>0</v>
      </c>
      <c r="K25" s="15">
        <f>'Intermediate lattices'!F92</f>
        <v>0</v>
      </c>
    </row>
    <row r="26" spans="1:11" ht="15.75" thickBot="1" x14ac:dyDescent="0.3">
      <c r="F26" s="1"/>
      <c r="G26" s="1"/>
      <c r="H26" s="17">
        <f>MAX(H24,H25)</f>
        <v>2.2107838483286183E-2</v>
      </c>
      <c r="I26" s="16">
        <f>IF(I25-$B$19&lt;0,0,I25-$B$19)</f>
        <v>0</v>
      </c>
      <c r="J26" s="17">
        <f>MAX(J24,J25)</f>
        <v>0</v>
      </c>
      <c r="K26" s="16">
        <f>IF(K25-$B$19&lt;0,0,K25-$B$19)</f>
        <v>0</v>
      </c>
    </row>
    <row r="27" spans="1:11" ht="15.75" thickTop="1" x14ac:dyDescent="0.25">
      <c r="F27" s="1"/>
      <c r="G27" s="1"/>
      <c r="H27" s="1"/>
      <c r="I27" s="16">
        <f>(J26*$B$16+J30*$B$17)*EXP(-$B$14/100)</f>
        <v>0</v>
      </c>
      <c r="J27" s="15">
        <f>'Intermediate lattices'!E93</f>
        <v>0</v>
      </c>
      <c r="K27" s="16">
        <v>0</v>
      </c>
    </row>
    <row r="28" spans="1:11" ht="15.75" thickBot="1" x14ac:dyDescent="0.3">
      <c r="F28" s="1"/>
      <c r="G28" s="1"/>
      <c r="H28" s="1"/>
      <c r="I28" s="17">
        <f>MAX(I26,I27)</f>
        <v>0</v>
      </c>
      <c r="J28" s="16">
        <f>IF(J27-$B$19&lt;0,0,J27-$B$19)</f>
        <v>0</v>
      </c>
      <c r="K28" s="17">
        <f>MAX(K26,K27)</f>
        <v>0</v>
      </c>
    </row>
    <row r="29" spans="1:11" ht="15.75" thickTop="1" x14ac:dyDescent="0.25">
      <c r="J29" s="16">
        <f>(K28*$B$16+K32*$B$17)*EXP(-$B$14/100)</f>
        <v>0</v>
      </c>
      <c r="K29" s="15">
        <f>'Intermediate lattices'!F94</f>
        <v>0</v>
      </c>
    </row>
    <row r="30" spans="1:11" ht="15.75" thickBot="1" x14ac:dyDescent="0.3">
      <c r="J30" s="17">
        <f>MAX(J28,J29)</f>
        <v>0</v>
      </c>
      <c r="K30" s="16">
        <f>IF(K29-$B$19&lt;0,0,K29-$B$19)</f>
        <v>0</v>
      </c>
    </row>
    <row r="31" spans="1:11" ht="15.75" thickTop="1" x14ac:dyDescent="0.25">
      <c r="K31" s="16">
        <v>0</v>
      </c>
    </row>
    <row r="32" spans="1:11" ht="15.75" thickBot="1" x14ac:dyDescent="0.3">
      <c r="K32" s="17">
        <f>MAX(K30,K31)</f>
        <v>0</v>
      </c>
    </row>
    <row r="33" ht="15.75" thickTop="1" x14ac:dyDescent="0.25"/>
  </sheetData>
  <mergeCells count="5">
    <mergeCell ref="A3:C3"/>
    <mergeCell ref="E5:F5"/>
    <mergeCell ref="A1:I1"/>
    <mergeCell ref="E7:K7"/>
    <mergeCell ref="E3:K3"/>
  </mergeCells>
  <pageMargins left="0.7" right="0.7" top="0.75" bottom="0.75" header="0.3" footer="0.3"/>
  <ignoredErrors>
    <ignoredError sqref="H18:J18 H24:J24 G20:G22 H19:H20 H22:J22 J14 I16:I17 I25:I26 I20:I21 J16 J28 J20 J26 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8E22-B8C7-49BB-9CE7-BD623844B4CB}">
  <dimension ref="A1:K105"/>
  <sheetViews>
    <sheetView topLeftCell="A94" workbookViewId="0">
      <selection activeCell="A83" sqref="A83:F83"/>
    </sheetView>
  </sheetViews>
  <sheetFormatPr defaultRowHeight="15" x14ac:dyDescent="0.25"/>
  <cols>
    <col min="1" max="1" width="22" customWidth="1"/>
    <col min="2" max="2" width="20.7109375" customWidth="1"/>
    <col min="3" max="3" width="21.28515625" customWidth="1"/>
    <col min="4" max="4" width="22.42578125" customWidth="1"/>
    <col min="5" max="5" width="21.5703125" customWidth="1"/>
    <col min="6" max="6" width="20.85546875" customWidth="1"/>
  </cols>
  <sheetData>
    <row r="1" spans="1:11" x14ac:dyDescent="0.2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8.75" x14ac:dyDescent="0.3">
      <c r="A3" s="23" t="s">
        <v>13</v>
      </c>
      <c r="B3" s="23"/>
      <c r="C3" s="23"/>
      <c r="D3" s="23"/>
      <c r="E3" s="23"/>
      <c r="F3" s="23"/>
    </row>
    <row r="5" spans="1:11" x14ac:dyDescent="0.25">
      <c r="A5" s="22" t="s">
        <v>7</v>
      </c>
      <c r="B5" s="22" t="s">
        <v>8</v>
      </c>
      <c r="C5" s="22" t="s">
        <v>9</v>
      </c>
      <c r="D5" s="22" t="s">
        <v>10</v>
      </c>
      <c r="E5" s="22" t="s">
        <v>52</v>
      </c>
      <c r="F5" s="22" t="s">
        <v>53</v>
      </c>
    </row>
    <row r="6" spans="1:11" x14ac:dyDescent="0.25">
      <c r="A6" s="21"/>
      <c r="B6" s="21"/>
      <c r="C6" s="21"/>
      <c r="D6" s="21"/>
      <c r="F6" s="21">
        <f>IF('Demand lattice'!J4&lt;=213.07,7.85,IF('Demand lattice'!J4&lt;1594,8.045,"error"))</f>
        <v>8.0449999999999999</v>
      </c>
    </row>
    <row r="7" spans="1:11" x14ac:dyDescent="0.25">
      <c r="A7" s="21"/>
      <c r="B7" s="21"/>
      <c r="C7" s="21"/>
      <c r="D7" s="21"/>
      <c r="E7" s="21">
        <f>IF('Demand lattice'!I5&lt;=213.07,7.85,IF('Demand lattice'!I5&lt;1594,8.045,"error"))</f>
        <v>8.0449999999999999</v>
      </c>
    </row>
    <row r="8" spans="1:11" x14ac:dyDescent="0.25">
      <c r="A8" s="3"/>
      <c r="B8" s="3"/>
      <c r="C8" s="3"/>
      <c r="D8" s="12">
        <f>IF('Demand lattice'!H6&lt;=213.07,7.85,IF('Demand lattice'!H6&lt;1594,8.045,"error"))</f>
        <v>8.0449999999999999</v>
      </c>
      <c r="F8" s="21">
        <f>IF('Demand lattice'!J6&lt;=213.07,7.85,IF('Demand lattice'!J6&lt;1594,8.045,"error"))</f>
        <v>8.0449999999999999</v>
      </c>
    </row>
    <row r="9" spans="1:11" x14ac:dyDescent="0.25">
      <c r="B9" s="3"/>
      <c r="C9" s="12">
        <f>IF('Demand lattice'!G7&lt;=213.07,7.85,IF('Demand lattice'!G7&lt;1594,8.045,"error"))</f>
        <v>8.0449999999999999</v>
      </c>
      <c r="D9" s="3"/>
      <c r="E9" s="21">
        <f>IF('Demand lattice'!I7&lt;=213.07,7.85,IF('Demand lattice'!I7&lt;1594,8.045,"error"))</f>
        <v>8.0449999999999999</v>
      </c>
    </row>
    <row r="10" spans="1:11" x14ac:dyDescent="0.25">
      <c r="A10" s="3"/>
      <c r="B10" s="12">
        <f>IF('Demand lattice'!F8&lt;=213.07,7.85,IF('Demand lattice'!F8&lt;1594,8.045,"error"))</f>
        <v>8.0449999999999999</v>
      </c>
      <c r="C10" s="3"/>
      <c r="D10" s="12">
        <f>IF('Demand lattice'!H8&lt;=213.07,7.85,IF('Demand lattice'!H8&lt;1594,8.045,"error"))</f>
        <v>8.0449999999999999</v>
      </c>
      <c r="F10" s="21">
        <f>IF('Demand lattice'!J8&lt;=213.07,7.85,IF('Demand lattice'!J8&lt;1594,8.045,"error"))</f>
        <v>8.0449999999999999</v>
      </c>
    </row>
    <row r="11" spans="1:11" x14ac:dyDescent="0.25">
      <c r="A11" s="12">
        <f>IF('Demand lattice'!E9&lt;=213.07,7.85,IF('Demand lattice'!E9&lt;1594,8.045,"error"))</f>
        <v>7.85</v>
      </c>
      <c r="B11" s="3"/>
      <c r="C11" s="12">
        <f>IF('Demand lattice'!G9&lt;=213.07,7.85,IF('Demand lattice'!G9&lt;1594,8.045,"error"))</f>
        <v>7.85</v>
      </c>
      <c r="D11" s="3"/>
      <c r="E11" s="21">
        <f>IF('Demand lattice'!I9&lt;=213.07,7.85,IF('Demand lattice'!I9&lt;1594,8.045,"error"))</f>
        <v>7.85</v>
      </c>
    </row>
    <row r="12" spans="1:11" x14ac:dyDescent="0.25">
      <c r="A12" s="3"/>
      <c r="B12" s="12">
        <f>IF('Demand lattice'!F10&lt;=213.07,7.85,IF('Demand lattice'!F10&lt;1594,8.045,"error"))</f>
        <v>7.85</v>
      </c>
      <c r="C12" s="3"/>
      <c r="D12" s="12">
        <f>IF('Demand lattice'!H10&lt;=213.07,7.85,IF('Demand lattice'!H10&lt;1594,8.045,"error"))</f>
        <v>7.85</v>
      </c>
      <c r="F12" s="21">
        <f>IF('Demand lattice'!J10&lt;=213.07,7.85,IF('Demand lattice'!J10&lt;1594,8.045,"error"))</f>
        <v>7.85</v>
      </c>
    </row>
    <row r="13" spans="1:11" x14ac:dyDescent="0.25">
      <c r="A13" s="3"/>
      <c r="B13" s="3"/>
      <c r="C13" s="12">
        <f>IF('Demand lattice'!G11&lt;=213.07,7.85,IF('Demand lattice'!G11&lt;1594,8.045,"error"))</f>
        <v>7.85</v>
      </c>
      <c r="D13" s="3"/>
      <c r="E13" s="21">
        <f>IF('Demand lattice'!I11&lt;=213.07,7.85,IF('Demand lattice'!I11&lt;1594,8.045,"error"))</f>
        <v>7.85</v>
      </c>
    </row>
    <row r="14" spans="1:11" x14ac:dyDescent="0.25">
      <c r="A14" s="3"/>
      <c r="B14" s="3"/>
      <c r="C14" s="3"/>
      <c r="D14" s="12">
        <f>IF('Demand lattice'!H12&lt;=213.07,7.85,IF('Demand lattice'!H12&lt;1594,8.045,"error"))</f>
        <v>7.85</v>
      </c>
      <c r="F14" s="21">
        <f>IF('Demand lattice'!J12&lt;=213.07,7.85,IF('Demand lattice'!J12&lt;1594,8.045,"error"))</f>
        <v>7.85</v>
      </c>
    </row>
    <row r="15" spans="1:11" x14ac:dyDescent="0.25">
      <c r="A15" s="21"/>
      <c r="B15" s="21"/>
      <c r="C15" s="21"/>
      <c r="D15" s="21"/>
      <c r="E15" s="21">
        <f>IF('Demand lattice'!I13&lt;=213.07,7.85,IF('Demand lattice'!I13&lt;1594,8.045,"error"))</f>
        <v>7.85</v>
      </c>
      <c r="F15" s="21"/>
    </row>
    <row r="16" spans="1:11" x14ac:dyDescent="0.25">
      <c r="A16" s="21"/>
      <c r="B16" s="21"/>
      <c r="C16" s="21"/>
      <c r="D16" s="21"/>
      <c r="F16" s="21">
        <f>IF('Demand lattice'!J14&lt;=213.07,7.85,IF('Demand lattice'!J14&lt;1594,8.045,"error"))</f>
        <v>7.85</v>
      </c>
    </row>
    <row r="17" spans="1:6" x14ac:dyDescent="0.25">
      <c r="A17" s="21"/>
      <c r="B17" s="21"/>
      <c r="C17" s="21"/>
      <c r="D17" s="21"/>
      <c r="F17" s="21"/>
    </row>
    <row r="18" spans="1:6" ht="18.75" x14ac:dyDescent="0.3">
      <c r="A18" s="23" t="s">
        <v>14</v>
      </c>
      <c r="B18" s="23"/>
      <c r="C18" s="23"/>
      <c r="D18" s="23"/>
      <c r="E18" s="23"/>
      <c r="F18" s="23"/>
    </row>
    <row r="20" spans="1:6" x14ac:dyDescent="0.25">
      <c r="A20" s="22" t="s">
        <v>7</v>
      </c>
      <c r="B20" s="22" t="s">
        <v>8</v>
      </c>
      <c r="C20" s="22" t="s">
        <v>9</v>
      </c>
      <c r="D20" s="22" t="s">
        <v>10</v>
      </c>
      <c r="E20" s="22" t="s">
        <v>52</v>
      </c>
      <c r="F20" s="22" t="s">
        <v>53</v>
      </c>
    </row>
    <row r="21" spans="1:6" x14ac:dyDescent="0.25">
      <c r="A21" s="21"/>
      <c r="B21" s="21"/>
      <c r="C21" s="21"/>
      <c r="D21" s="21"/>
      <c r="F21" s="21">
        <f>IF('Demand lattice'!J4&gt;213.07,7.92,7.85)</f>
        <v>7.92</v>
      </c>
    </row>
    <row r="22" spans="1:6" x14ac:dyDescent="0.25">
      <c r="A22" s="21"/>
      <c r="B22" s="21"/>
      <c r="C22" s="21"/>
      <c r="D22" s="21"/>
      <c r="E22" s="21">
        <f>IF('Demand lattice'!I5&gt;213.07,7.92,7.85)</f>
        <v>7.92</v>
      </c>
    </row>
    <row r="23" spans="1:6" x14ac:dyDescent="0.25">
      <c r="A23" s="3"/>
      <c r="B23" s="3"/>
      <c r="C23" s="3"/>
      <c r="D23" s="4">
        <f>IF('Demand lattice'!H6&gt;213.07,7.92,7.85)</f>
        <v>7.92</v>
      </c>
      <c r="F23" s="21">
        <f>IF('Demand lattice'!J6&gt;213.07,7.92,7.85)</f>
        <v>7.92</v>
      </c>
    </row>
    <row r="24" spans="1:6" x14ac:dyDescent="0.25">
      <c r="A24" s="3"/>
      <c r="B24" s="3"/>
      <c r="C24" s="4">
        <f>IF('Demand lattice'!G7&gt;213.07,7.92,7.85)</f>
        <v>7.92</v>
      </c>
      <c r="D24" s="3"/>
      <c r="E24" s="21">
        <f>IF('Demand lattice'!I7&gt;213.07,7.92,7.85)</f>
        <v>7.92</v>
      </c>
    </row>
    <row r="25" spans="1:6" x14ac:dyDescent="0.25">
      <c r="A25" s="3"/>
      <c r="B25" s="4">
        <f>IF('Demand lattice'!F8&gt;213.07,7.92,7.85)</f>
        <v>7.92</v>
      </c>
      <c r="C25" s="3"/>
      <c r="D25" s="4">
        <f>IF('Demand lattice'!H8&gt;213.07,7.92,7.85)</f>
        <v>7.92</v>
      </c>
      <c r="F25" s="21">
        <f>IF('Demand lattice'!J8&gt;213.07,7.92,7.85)</f>
        <v>7.92</v>
      </c>
    </row>
    <row r="26" spans="1:6" x14ac:dyDescent="0.25">
      <c r="A26" s="4">
        <f>IF('Demand lattice'!E9&gt;213.07,7.92,7.85)</f>
        <v>7.85</v>
      </c>
      <c r="B26" s="3"/>
      <c r="C26" s="4">
        <f>IF('Demand lattice'!G9&gt;213.07,7.92,7.85)</f>
        <v>7.85</v>
      </c>
      <c r="D26" s="3"/>
      <c r="E26" s="21">
        <f>IF('Demand lattice'!I9&gt;213.07,7.92,7.85)</f>
        <v>7.85</v>
      </c>
    </row>
    <row r="27" spans="1:6" x14ac:dyDescent="0.25">
      <c r="A27" s="3"/>
      <c r="B27" s="4">
        <f>IF('Demand lattice'!F10&gt;213.07,7.92,7.85)</f>
        <v>7.85</v>
      </c>
      <c r="C27" s="3"/>
      <c r="D27" s="4">
        <f>IF('Demand lattice'!H10&gt;213.07,7.92,7.85)</f>
        <v>7.85</v>
      </c>
      <c r="F27" s="21">
        <f>IF('Demand lattice'!J10&gt;213.07,7.92,7.85)</f>
        <v>7.85</v>
      </c>
    </row>
    <row r="28" spans="1:6" x14ac:dyDescent="0.25">
      <c r="A28" s="3"/>
      <c r="B28" s="3"/>
      <c r="C28" s="4">
        <f>IF('Demand lattice'!G11&gt;213.07,7.92,7.85)</f>
        <v>7.85</v>
      </c>
      <c r="D28" s="3"/>
      <c r="E28" s="21">
        <f>IF('Demand lattice'!I11&gt;213.07,7.92,7.85)</f>
        <v>7.85</v>
      </c>
    </row>
    <row r="29" spans="1:6" x14ac:dyDescent="0.25">
      <c r="A29" s="3"/>
      <c r="B29" s="3"/>
      <c r="C29" s="3"/>
      <c r="D29" s="4">
        <f>IF('Demand lattice'!H12&gt;213.07,7.92,7.85)</f>
        <v>7.85</v>
      </c>
      <c r="F29" s="21">
        <f>IF('Demand lattice'!J12&gt;213.07,7.92,7.85)</f>
        <v>7.85</v>
      </c>
    </row>
    <row r="30" spans="1:6" x14ac:dyDescent="0.25">
      <c r="A30" s="21"/>
      <c r="B30" s="21"/>
      <c r="C30" s="21"/>
      <c r="D30" s="21"/>
      <c r="E30" s="21">
        <f>IF('Demand lattice'!I13&gt;213.07,7.92,7.85)</f>
        <v>7.85</v>
      </c>
      <c r="F30" s="21"/>
    </row>
    <row r="31" spans="1:6" x14ac:dyDescent="0.25">
      <c r="A31" s="21"/>
      <c r="B31" s="21"/>
      <c r="C31" s="21"/>
      <c r="D31" s="21"/>
      <c r="F31" s="21">
        <f>IF('Demand lattice'!J14&gt;213.07,7.92,7.85)</f>
        <v>7.85</v>
      </c>
    </row>
    <row r="32" spans="1:6" x14ac:dyDescent="0.25">
      <c r="A32" s="21"/>
      <c r="B32" s="21"/>
      <c r="C32" s="21"/>
      <c r="D32" s="21"/>
      <c r="F32" s="21"/>
    </row>
    <row r="34" spans="1:6" x14ac:dyDescent="0.25">
      <c r="A34" t="s">
        <v>19</v>
      </c>
    </row>
    <row r="36" spans="1:6" ht="18.75" x14ac:dyDescent="0.3">
      <c r="A36" s="23" t="s">
        <v>20</v>
      </c>
      <c r="B36" s="23"/>
      <c r="C36" s="23"/>
      <c r="D36" s="23"/>
      <c r="E36" s="23"/>
      <c r="F36" s="23"/>
    </row>
    <row r="38" spans="1:6" x14ac:dyDescent="0.25">
      <c r="A38" s="22" t="s">
        <v>15</v>
      </c>
      <c r="B38" s="22" t="s">
        <v>16</v>
      </c>
      <c r="C38" s="22" t="s">
        <v>17</v>
      </c>
      <c r="D38" s="22" t="s">
        <v>18</v>
      </c>
      <c r="E38" s="22" t="s">
        <v>64</v>
      </c>
      <c r="F38" s="22" t="s">
        <v>65</v>
      </c>
    </row>
    <row r="39" spans="1:6" x14ac:dyDescent="0.25">
      <c r="A39" s="21"/>
      <c r="B39" s="21"/>
      <c r="C39" s="21"/>
      <c r="D39" s="21"/>
      <c r="F39" s="1">
        <f>'Demand lattice'!J4*F6*8760*10^-6</f>
        <v>63.168690376163788</v>
      </c>
    </row>
    <row r="40" spans="1:6" x14ac:dyDescent="0.25">
      <c r="A40" s="21"/>
      <c r="B40" s="21"/>
      <c r="C40" s="21"/>
      <c r="D40" s="21"/>
      <c r="E40" s="1">
        <f>'Demand lattice'!I5*E7*8760*10^-6</f>
        <v>46.796516807264005</v>
      </c>
    </row>
    <row r="41" spans="1:6" x14ac:dyDescent="0.25">
      <c r="A41" s="1"/>
      <c r="B41" s="1"/>
      <c r="C41" s="1"/>
      <c r="D41" s="1">
        <f>'Demand lattice'!H6*D8*8760*10^-6</f>
        <v>34.667712315259422</v>
      </c>
      <c r="F41" s="1">
        <f>'Demand lattice'!J6*F8*8760*10^-6</f>
        <v>34.667712315259436</v>
      </c>
    </row>
    <row r="42" spans="1:6" x14ac:dyDescent="0.25">
      <c r="A42" s="1"/>
      <c r="B42" s="1"/>
      <c r="C42" s="1">
        <f>'Demand lattice'!G7*C9*8760*10^-6</f>
        <v>25.682472952496163</v>
      </c>
      <c r="D42" s="1"/>
      <c r="E42" s="1">
        <f>'Demand lattice'!I7*E9*8760*10^-6</f>
        <v>25.682472952496166</v>
      </c>
    </row>
    <row r="43" spans="1:6" x14ac:dyDescent="0.25">
      <c r="A43" s="1"/>
      <c r="B43" s="1">
        <f>'Demand lattice'!F8*B10*8760*10^-6</f>
        <v>19.026043915374551</v>
      </c>
      <c r="C43" s="1"/>
      <c r="D43" s="1">
        <f>'Demand lattice'!H8*D10*8760*10^-6</f>
        <v>19.026043915374554</v>
      </c>
      <c r="F43" s="1">
        <f>'Demand lattice'!J8*F10*8760*10^-6</f>
        <v>19.026043915374562</v>
      </c>
    </row>
    <row r="44" spans="1:6" x14ac:dyDescent="0.25">
      <c r="A44" s="1">
        <f>'Demand lattice'!E9*A11*8760*10^-6</f>
        <v>13.7532</v>
      </c>
      <c r="B44" s="1"/>
      <c r="C44" s="1">
        <f>'Demand lattice'!G9*C11*8760*10^-6</f>
        <v>13.753200000000001</v>
      </c>
      <c r="D44" s="1"/>
      <c r="E44" s="1">
        <f>'Demand lattice'!I9*E11*8760*10^-6</f>
        <v>13.753200000000003</v>
      </c>
    </row>
    <row r="45" spans="1:6" x14ac:dyDescent="0.25">
      <c r="A45" s="1"/>
      <c r="B45" s="1">
        <f>'Demand lattice'!F10*B12*8760*10^-6</f>
        <v>10.188621152679803</v>
      </c>
      <c r="C45" s="1"/>
      <c r="D45" s="1">
        <f>'Demand lattice'!H10*D12*8760*10^-6</f>
        <v>10.188621152679804</v>
      </c>
      <c r="F45" s="1">
        <f>'Demand lattice'!J10*F12*8760*10^-6</f>
        <v>10.188621152679804</v>
      </c>
    </row>
    <row r="46" spans="1:6" x14ac:dyDescent="0.25">
      <c r="A46" s="1"/>
      <c r="B46" s="1"/>
      <c r="C46" s="1">
        <f>'Demand lattice'!G11*C13*8760*10^-6</f>
        <v>7.5479161935283638</v>
      </c>
      <c r="D46" s="1"/>
      <c r="E46" s="1">
        <f>'Demand lattice'!I11*E13*8760*10^-6</f>
        <v>7.5479161935283638</v>
      </c>
    </row>
    <row r="47" spans="1:6" x14ac:dyDescent="0.25">
      <c r="A47" s="1"/>
      <c r="B47" s="1"/>
      <c r="C47" s="1"/>
      <c r="D47" s="1">
        <f>'Demand lattice'!H12*D14*8760*10^-6</f>
        <v>5.5916338443444076</v>
      </c>
      <c r="F47" s="1">
        <f>'Demand lattice'!J12*F14*8760*10^-6</f>
        <v>5.5916338443444076</v>
      </c>
    </row>
    <row r="48" spans="1:6" x14ac:dyDescent="0.25">
      <c r="A48" s="1"/>
      <c r="B48" s="1"/>
      <c r="C48" s="1"/>
      <c r="D48" s="1"/>
      <c r="E48" s="1">
        <f>'Demand lattice'!I13*E15*8760*10^-6</f>
        <v>4.1423842352708977</v>
      </c>
      <c r="F48" s="1"/>
    </row>
    <row r="49" spans="1:6" x14ac:dyDescent="0.25">
      <c r="A49" s="1"/>
      <c r="B49" s="1"/>
      <c r="C49" s="1"/>
      <c r="D49" s="1"/>
      <c r="F49" s="1">
        <f>'Demand lattice'!J14*F16*8760*10^-6</f>
        <v>3.0687537185533853</v>
      </c>
    </row>
    <row r="51" spans="1:6" ht="18.75" x14ac:dyDescent="0.3">
      <c r="A51" s="23" t="s">
        <v>21</v>
      </c>
      <c r="B51" s="23"/>
      <c r="C51" s="23"/>
      <c r="D51" s="23"/>
      <c r="E51" s="23"/>
      <c r="F51" s="23"/>
    </row>
    <row r="53" spans="1:6" x14ac:dyDescent="0.25">
      <c r="A53" s="22" t="s">
        <v>15</v>
      </c>
      <c r="B53" s="22" t="s">
        <v>16</v>
      </c>
      <c r="C53" s="22" t="s">
        <v>17</v>
      </c>
      <c r="D53" s="22" t="s">
        <v>18</v>
      </c>
      <c r="E53" s="22" t="s">
        <v>64</v>
      </c>
      <c r="F53" s="22" t="s">
        <v>65</v>
      </c>
    </row>
    <row r="54" spans="1:6" x14ac:dyDescent="0.25">
      <c r="A54" s="21"/>
      <c r="B54" s="21"/>
      <c r="C54" s="21"/>
      <c r="D54" s="21"/>
      <c r="F54" s="1">
        <f>'Demand lattice'!J4*F21*8760*10^-6</f>
        <v>62.187200469759745</v>
      </c>
    </row>
    <row r="55" spans="1:6" x14ac:dyDescent="0.25">
      <c r="A55" s="21"/>
      <c r="B55" s="21"/>
      <c r="C55" s="21"/>
      <c r="D55" s="21"/>
      <c r="E55" s="1">
        <f>'Demand lattice'!I5*E22*8760*10^-6</f>
        <v>46.069411201184707</v>
      </c>
    </row>
    <row r="56" spans="1:6" x14ac:dyDescent="0.25">
      <c r="A56" s="1"/>
      <c r="B56" s="1"/>
      <c r="C56" s="1"/>
      <c r="D56" s="1">
        <f>'Demand lattice'!H6*D23*8760*10^-6</f>
        <v>34.12905923391606</v>
      </c>
      <c r="F56" s="1">
        <f>'Demand lattice'!J6*F23*8760*10^-6</f>
        <v>34.12905923391606</v>
      </c>
    </row>
    <row r="57" spans="1:6" x14ac:dyDescent="0.25">
      <c r="A57" s="1"/>
      <c r="B57" s="1"/>
      <c r="C57" s="1">
        <f>'Demand lattice'!G7*C24*8760*10^-6</f>
        <v>25.283428935210644</v>
      </c>
      <c r="D57" s="1"/>
      <c r="E57" s="1">
        <f>'Demand lattice'!I7*E24*8760*10^-6</f>
        <v>25.283428935210647</v>
      </c>
    </row>
    <row r="58" spans="1:6" x14ac:dyDescent="0.25">
      <c r="A58" s="1"/>
      <c r="B58" s="1">
        <f>'Demand lattice'!F8*B25*8760*10^-6</f>
        <v>18.730424836515407</v>
      </c>
      <c r="C58" s="1"/>
      <c r="D58" s="1">
        <f>'Demand lattice'!H8*D25*8760*10^-6</f>
        <v>18.730424836515411</v>
      </c>
      <c r="F58" s="1">
        <f>'Demand lattice'!J8*F25*8760*10^-6</f>
        <v>18.730424836515414</v>
      </c>
    </row>
    <row r="59" spans="1:6" x14ac:dyDescent="0.25">
      <c r="A59" s="1">
        <f>'Demand lattice'!E9*A26*8760*10^-6</f>
        <v>13.7532</v>
      </c>
      <c r="B59" s="1"/>
      <c r="C59" s="1">
        <f>'Demand lattice'!G9*C26*8760*10^-6</f>
        <v>13.753200000000001</v>
      </c>
      <c r="D59" s="1"/>
      <c r="E59" s="1">
        <f>'Demand lattice'!I9*E26*8760*10^-6</f>
        <v>13.753200000000003</v>
      </c>
    </row>
    <row r="60" spans="1:6" x14ac:dyDescent="0.25">
      <c r="A60" s="1"/>
      <c r="B60" s="1">
        <f>'Demand lattice'!F10*B27*8760*10^-6</f>
        <v>10.188621152679803</v>
      </c>
      <c r="C60" s="1"/>
      <c r="D60" s="1">
        <f>'Demand lattice'!H10*D27*8760*10^-6</f>
        <v>10.188621152679804</v>
      </c>
      <c r="F60" s="1">
        <f>'Demand lattice'!J10*F27*8760*10^-6</f>
        <v>10.188621152679804</v>
      </c>
    </row>
    <row r="61" spans="1:6" x14ac:dyDescent="0.25">
      <c r="A61" s="1"/>
      <c r="B61" s="1"/>
      <c r="C61" s="1">
        <f>'Demand lattice'!G11*C28*8760*10^-6</f>
        <v>7.5479161935283638</v>
      </c>
      <c r="D61" s="1"/>
      <c r="E61" s="1">
        <f>'Demand lattice'!I11*E28*8760*10^-6</f>
        <v>7.5479161935283638</v>
      </c>
    </row>
    <row r="62" spans="1:6" x14ac:dyDescent="0.25">
      <c r="A62" s="1"/>
      <c r="B62" s="1"/>
      <c r="C62" s="1"/>
      <c r="D62" s="1">
        <f>'Demand lattice'!H12*D29*8760*10^-6</f>
        <v>5.5916338443444076</v>
      </c>
      <c r="F62" s="1">
        <f>'Demand lattice'!J12*F29*8760*10^-6</f>
        <v>5.5916338443444076</v>
      </c>
    </row>
    <row r="63" spans="1:6" x14ac:dyDescent="0.25">
      <c r="A63" s="1"/>
      <c r="B63" s="1"/>
      <c r="C63" s="1"/>
      <c r="D63" s="1"/>
      <c r="E63" s="1">
        <f>'Demand lattice'!I13*E30*8760*10^-6</f>
        <v>4.1423842352708977</v>
      </c>
    </row>
    <row r="64" spans="1:6" x14ac:dyDescent="0.25">
      <c r="A64" s="1"/>
      <c r="B64" s="1"/>
      <c r="C64" s="1"/>
      <c r="D64" s="1"/>
      <c r="F64" s="1">
        <f>'Demand lattice'!J14*F31*8760*10^-6</f>
        <v>3.0687537185533853</v>
      </c>
    </row>
    <row r="66" spans="1:6" ht="18.75" x14ac:dyDescent="0.3">
      <c r="A66" s="23" t="s">
        <v>22</v>
      </c>
      <c r="B66" s="23"/>
      <c r="C66" s="23"/>
      <c r="D66" s="23"/>
      <c r="E66" s="23"/>
      <c r="F66" s="23"/>
    </row>
    <row r="67" spans="1:6" x14ac:dyDescent="0.25">
      <c r="A67" s="27"/>
      <c r="B67" s="27"/>
      <c r="C67" s="27"/>
      <c r="D67" s="27"/>
      <c r="E67" s="27"/>
      <c r="F67" s="27"/>
    </row>
    <row r="68" spans="1:6" x14ac:dyDescent="0.25">
      <c r="A68" s="22" t="s">
        <v>23</v>
      </c>
      <c r="B68" s="22" t="s">
        <v>24</v>
      </c>
      <c r="C68" s="22" t="s">
        <v>25</v>
      </c>
      <c r="D68" s="22" t="s">
        <v>26</v>
      </c>
      <c r="E68" s="22" t="s">
        <v>56</v>
      </c>
      <c r="F68" s="22" t="s">
        <v>57</v>
      </c>
    </row>
    <row r="69" spans="1:6" x14ac:dyDescent="0.25">
      <c r="A69" s="21"/>
      <c r="B69" s="21"/>
      <c r="C69" s="21"/>
      <c r="D69" s="21"/>
      <c r="F69" s="1">
        <f>F39-F54</f>
        <v>0.98148990640404321</v>
      </c>
    </row>
    <row r="70" spans="1:6" x14ac:dyDescent="0.25">
      <c r="A70" s="21"/>
      <c r="B70" s="21"/>
      <c r="C70" s="21"/>
      <c r="D70" s="21"/>
      <c r="E70" s="1">
        <f>E40-E55</f>
        <v>0.72710560607929864</v>
      </c>
    </row>
    <row r="71" spans="1:6" x14ac:dyDescent="0.25">
      <c r="A71" s="1"/>
      <c r="B71" s="1"/>
      <c r="C71" s="1"/>
      <c r="D71" s="1">
        <f>D41-D56</f>
        <v>0.53865308134336232</v>
      </c>
      <c r="F71" s="1">
        <f>F41-F56</f>
        <v>0.53865308134337653</v>
      </c>
    </row>
    <row r="72" spans="1:6" x14ac:dyDescent="0.25">
      <c r="A72" s="1"/>
      <c r="B72" s="1"/>
      <c r="C72" s="1">
        <f>C42-C57</f>
        <v>0.39904401728551875</v>
      </c>
      <c r="D72" s="1"/>
      <c r="E72" s="1">
        <f>E42-E57</f>
        <v>0.39904401728551875</v>
      </c>
    </row>
    <row r="73" spans="1:6" x14ac:dyDescent="0.25">
      <c r="A73" s="1"/>
      <c r="B73" s="1">
        <f>B43-B58</f>
        <v>0.29561907885914351</v>
      </c>
      <c r="C73" s="1"/>
      <c r="D73" s="1">
        <f>D43-D58</f>
        <v>0.29561907885914351</v>
      </c>
      <c r="F73" s="1">
        <f>F43-F58</f>
        <v>0.29561907885914707</v>
      </c>
    </row>
    <row r="74" spans="1:6" x14ac:dyDescent="0.25">
      <c r="A74" s="1">
        <f>A44-A59</f>
        <v>0</v>
      </c>
      <c r="B74" s="1"/>
      <c r="C74" s="1">
        <f>C44-C59</f>
        <v>0</v>
      </c>
      <c r="D74" s="1"/>
      <c r="E74" s="1">
        <f>E44-E59</f>
        <v>0</v>
      </c>
    </row>
    <row r="75" spans="1:6" x14ac:dyDescent="0.25">
      <c r="A75" s="1"/>
      <c r="B75" s="1">
        <f>B45-B60</f>
        <v>0</v>
      </c>
      <c r="C75" s="1"/>
      <c r="D75" s="1">
        <f>D45-D60</f>
        <v>0</v>
      </c>
      <c r="F75" s="1">
        <f>F45-F60</f>
        <v>0</v>
      </c>
    </row>
    <row r="76" spans="1:6" x14ac:dyDescent="0.25">
      <c r="A76" s="1"/>
      <c r="B76" s="1"/>
      <c r="C76" s="1">
        <f>C46-C61</f>
        <v>0</v>
      </c>
      <c r="D76" s="1"/>
      <c r="E76" s="1">
        <f>E46-E61</f>
        <v>0</v>
      </c>
    </row>
    <row r="77" spans="1:6" x14ac:dyDescent="0.25">
      <c r="A77" s="1"/>
      <c r="B77" s="1"/>
      <c r="C77" s="1"/>
      <c r="D77" s="1">
        <f>D47-D62</f>
        <v>0</v>
      </c>
      <c r="F77" s="1">
        <f>F47-F62</f>
        <v>0</v>
      </c>
    </row>
    <row r="78" spans="1:6" x14ac:dyDescent="0.25">
      <c r="A78" s="1"/>
      <c r="B78" s="1"/>
      <c r="C78" s="1"/>
      <c r="D78" s="1"/>
      <c r="E78" s="1">
        <f>E48-E63</f>
        <v>0</v>
      </c>
    </row>
    <row r="79" spans="1:6" x14ac:dyDescent="0.25">
      <c r="A79" s="1"/>
      <c r="B79" s="1"/>
      <c r="C79" s="1"/>
      <c r="D79" s="1"/>
      <c r="F79" s="1">
        <f>F49-F64</f>
        <v>0</v>
      </c>
    </row>
    <row r="81" spans="1:6" ht="18.75" x14ac:dyDescent="0.3">
      <c r="A81" s="23" t="s">
        <v>66</v>
      </c>
      <c r="B81" s="23"/>
      <c r="C81" s="23"/>
      <c r="D81" s="23"/>
      <c r="E81" s="23"/>
      <c r="F81" s="23"/>
    </row>
    <row r="82" spans="1:6" ht="14.25" customHeight="1" x14ac:dyDescent="0.3">
      <c r="A82" s="20"/>
      <c r="B82" s="20"/>
      <c r="C82" s="20"/>
      <c r="D82" s="20"/>
    </row>
    <row r="83" spans="1:6" x14ac:dyDescent="0.25">
      <c r="A83" s="22" t="s">
        <v>58</v>
      </c>
      <c r="B83" s="22" t="s">
        <v>59</v>
      </c>
      <c r="C83" s="22" t="s">
        <v>60</v>
      </c>
      <c r="D83" s="22" t="s">
        <v>61</v>
      </c>
      <c r="E83" s="22" t="s">
        <v>62</v>
      </c>
      <c r="F83" s="22" t="s">
        <v>63</v>
      </c>
    </row>
    <row r="84" spans="1:6" ht="13.5" customHeight="1" x14ac:dyDescent="0.3">
      <c r="A84" s="20"/>
      <c r="B84" s="20"/>
      <c r="C84" s="20"/>
      <c r="D84" s="20"/>
      <c r="F84" s="1">
        <f>F69</f>
        <v>0.98148990640404321</v>
      </c>
    </row>
    <row r="85" spans="1:6" x14ac:dyDescent="0.25">
      <c r="E85" s="1">
        <f>(F84*'Option valuation'!$B$16+F86*'Option valuation'!$B$17)*EXP(-'Option valuation'!$B$14/100)+E70</f>
        <v>1.4542112121586079</v>
      </c>
      <c r="F85" s="1"/>
    </row>
    <row r="86" spans="1:6" x14ac:dyDescent="0.25">
      <c r="A86" s="12"/>
      <c r="B86" s="12"/>
      <c r="C86" s="12"/>
      <c r="D86" s="1">
        <f>(E85*'Option valuation'!$B$16+E87*'Option valuation'!$B$17)*EXP(-'Option valuation'!$B$14/100)+D71</f>
        <v>1.6159592440301065</v>
      </c>
      <c r="F86" s="1">
        <f>F71</f>
        <v>0.53865308134337653</v>
      </c>
    </row>
    <row r="87" spans="1:6" x14ac:dyDescent="0.25">
      <c r="A87" s="12"/>
      <c r="B87" s="12"/>
      <c r="C87" s="1">
        <f>(D86*'Option valuation'!$B$16+D88*'Option valuation'!$B$17)*EXP(-'Option valuation'!$B$14/100)+C72</f>
        <v>1.5312986299841624</v>
      </c>
      <c r="D87" s="12"/>
      <c r="E87" s="1">
        <f>(F86*'Option valuation'!$B$16+F88*'Option valuation'!$B$17)*EXP(-'Option valuation'!$B$14/100)+E72</f>
        <v>0.79808803457104349</v>
      </c>
      <c r="F87" s="1"/>
    </row>
    <row r="88" spans="1:6" x14ac:dyDescent="0.25">
      <c r="A88" s="12"/>
      <c r="B88" s="1">
        <f>(C87*'Option valuation'!$B$16+C89*'Option valuation'!$B$17)*EXP(-'Option valuation'!$B$14/100)+B73</f>
        <v>1.2208517199624138</v>
      </c>
      <c r="C88" s="12"/>
      <c r="D88" s="1">
        <f>(E87*'Option valuation'!$B$16+E89*'Option valuation'!$B$17)*EXP(-'Option valuation'!$B$14/100)+D73</f>
        <v>0.74849664067775745</v>
      </c>
      <c r="F88" s="1">
        <f>F73</f>
        <v>0.29561907885914707</v>
      </c>
    </row>
    <row r="89" spans="1:6" x14ac:dyDescent="0.25">
      <c r="A89" s="1">
        <f>(B88*'Option valuation'!$B$16+B90*'Option valuation'!$B$17)*EXP(-'Option valuation'!$B$14/100)+A74</f>
        <v>0.68698888766696786</v>
      </c>
      <c r="B89" s="12"/>
      <c r="C89" s="1">
        <f>(D88*'Option valuation'!$B$16+D90*'Option valuation'!$B$17)*EXP(-'Option valuation'!$B$14/100)+C74</f>
        <v>0.39428492415628519</v>
      </c>
      <c r="D89" s="12"/>
      <c r="E89" s="1">
        <f>(F88*'Option valuation'!$B$16+F90*'Option valuation'!$B$17)*EXP(-'Option valuation'!$B$14/100)+E74</f>
        <v>0.14292586103596766</v>
      </c>
      <c r="F89" s="1"/>
    </row>
    <row r="90" spans="1:6" x14ac:dyDescent="0.25">
      <c r="A90" s="12"/>
      <c r="B90" s="1">
        <f>(C89*'Option valuation'!$B$16+C91*'Option valuation'!$B$17)*EXP(-'Option valuation'!$B$14/100)+B75</f>
        <v>0.20629447085300703</v>
      </c>
      <c r="C90" s="12"/>
      <c r="D90" s="1">
        <f>(E89*'Option valuation'!$B$16+E91*'Option valuation'!$B$17)*EXP(-'Option valuation'!$B$14/100)+D75</f>
        <v>6.9101770534255424E-2</v>
      </c>
      <c r="F90" s="1">
        <f>F75</f>
        <v>0</v>
      </c>
    </row>
    <row r="91" spans="1:6" x14ac:dyDescent="0.25">
      <c r="A91" s="12"/>
      <c r="B91" s="12"/>
      <c r="C91" s="1">
        <f>(D90*'Option valuation'!$B$16+D92*'Option valuation'!$B$17)*EXP(-'Option valuation'!$B$14/100)+C76</f>
        <v>3.3409312047224513E-2</v>
      </c>
      <c r="D91" s="12"/>
      <c r="E91" s="1">
        <f>(F90*'Option valuation'!$B$16+F92*'Option valuation'!$B$17)*EXP(-'Option valuation'!$B$14/100)+E76</f>
        <v>0</v>
      </c>
      <c r="F91" s="1"/>
    </row>
    <row r="92" spans="1:6" x14ac:dyDescent="0.25">
      <c r="A92" s="12"/>
      <c r="B92" s="12"/>
      <c r="C92" s="12"/>
      <c r="D92" s="1">
        <f>(E91*'Option valuation'!$B$16+E93*'Option valuation'!$B$17)*EXP(-'Option valuation'!$B$14/100)+D77</f>
        <v>0</v>
      </c>
      <c r="F92" s="1">
        <f>F77</f>
        <v>0</v>
      </c>
    </row>
    <row r="93" spans="1:6" x14ac:dyDescent="0.25">
      <c r="A93" s="12"/>
      <c r="B93" s="12"/>
      <c r="C93" s="12"/>
      <c r="D93" s="12"/>
      <c r="E93" s="1">
        <f>(F92*'Option valuation'!$B$16+F94*'Option valuation'!$B$17)*EXP(-'Option valuation'!$B$14/100)+E78</f>
        <v>0</v>
      </c>
      <c r="F93" s="1"/>
    </row>
    <row r="94" spans="1:6" x14ac:dyDescent="0.25">
      <c r="F94" s="1">
        <f>F79</f>
        <v>0</v>
      </c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5" spans="1:4" x14ac:dyDescent="0.25">
      <c r="A105" s="24"/>
      <c r="B105" s="24"/>
      <c r="C105" s="1"/>
      <c r="D105" s="3"/>
    </row>
  </sheetData>
  <mergeCells count="7">
    <mergeCell ref="A105:B105"/>
    <mergeCell ref="A18:F18"/>
    <mergeCell ref="A3:F3"/>
    <mergeCell ref="A36:F36"/>
    <mergeCell ref="A51:F51"/>
    <mergeCell ref="A66:F66"/>
    <mergeCell ref="A81:F8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272C7-A2DA-4E04-AFC1-DA325590CE8E}">
  <dimension ref="A1:J16"/>
  <sheetViews>
    <sheetView tabSelected="1" workbookViewId="0">
      <selection activeCell="G17" sqref="G17"/>
    </sheetView>
  </sheetViews>
  <sheetFormatPr defaultRowHeight="15" x14ac:dyDescent="0.25"/>
  <cols>
    <col min="1" max="1" width="23.7109375" bestFit="1" customWidth="1"/>
    <col min="2" max="2" width="9.28515625" customWidth="1"/>
    <col min="3" max="3" width="10.7109375" customWidth="1"/>
    <col min="4" max="4" width="18.85546875" customWidth="1"/>
    <col min="5" max="8" width="16.7109375" bestFit="1" customWidth="1"/>
    <col min="9" max="9" width="17" customWidth="1"/>
    <col min="10" max="10" width="16.85546875" customWidth="1"/>
  </cols>
  <sheetData>
    <row r="1" spans="1:10" ht="18.75" x14ac:dyDescent="0.3">
      <c r="A1" s="23" t="s">
        <v>29</v>
      </c>
      <c r="B1" s="23"/>
      <c r="C1" s="23"/>
      <c r="E1" s="23" t="s">
        <v>30</v>
      </c>
      <c r="F1" s="23"/>
      <c r="G1" s="23"/>
      <c r="H1" s="23"/>
      <c r="I1" s="23"/>
      <c r="J1" s="23"/>
    </row>
    <row r="3" spans="1:10" x14ac:dyDescent="0.25">
      <c r="A3" s="5" t="s">
        <v>0</v>
      </c>
      <c r="B3" s="3">
        <f>'Option valuation'!B5</f>
        <v>200</v>
      </c>
      <c r="C3" t="s">
        <v>12</v>
      </c>
      <c r="E3" s="22" t="s">
        <v>4</v>
      </c>
      <c r="F3" s="22" t="s">
        <v>1</v>
      </c>
      <c r="G3" s="22" t="s">
        <v>2</v>
      </c>
      <c r="H3" s="22" t="s">
        <v>3</v>
      </c>
      <c r="I3" s="22" t="s">
        <v>54</v>
      </c>
      <c r="J3" s="22" t="s">
        <v>55</v>
      </c>
    </row>
    <row r="4" spans="1:10" x14ac:dyDescent="0.25">
      <c r="A4" s="5"/>
      <c r="B4" s="21"/>
      <c r="E4" s="21"/>
      <c r="F4" s="21"/>
      <c r="G4" s="21"/>
      <c r="H4" s="21"/>
      <c r="J4" s="6">
        <f>I5*$B$9</f>
        <v>896.33781406761318</v>
      </c>
    </row>
    <row r="5" spans="1:10" x14ac:dyDescent="0.25">
      <c r="A5" s="5" t="s">
        <v>31</v>
      </c>
      <c r="B5" s="3">
        <f>'Option valuation'!B6</f>
        <v>30</v>
      </c>
      <c r="C5" t="s">
        <v>32</v>
      </c>
      <c r="I5" s="6">
        <f>H6*$B$9</f>
        <v>664.02338454730966</v>
      </c>
    </row>
    <row r="6" spans="1:10" x14ac:dyDescent="0.25">
      <c r="A6" s="5" t="s">
        <v>33</v>
      </c>
      <c r="B6" s="3">
        <f>'Option valuation'!B7</f>
        <v>1</v>
      </c>
      <c r="C6" t="s">
        <v>34</v>
      </c>
      <c r="E6" s="6"/>
      <c r="F6" s="6"/>
      <c r="G6" s="6"/>
      <c r="H6" s="6">
        <f>G7*$B$9</f>
        <v>491.92062223139004</v>
      </c>
      <c r="J6" s="6">
        <f>I7*$B$9</f>
        <v>491.9206222313901</v>
      </c>
    </row>
    <row r="7" spans="1:10" x14ac:dyDescent="0.25">
      <c r="A7" s="5" t="s">
        <v>35</v>
      </c>
      <c r="B7" s="3">
        <f>'Option valuation'!B8</f>
        <v>5</v>
      </c>
      <c r="E7" s="6"/>
      <c r="F7" s="6"/>
      <c r="G7" s="6">
        <f>F8*$B$9</f>
        <v>364.42376007810185</v>
      </c>
      <c r="H7" s="6"/>
      <c r="I7" s="6">
        <f>H8*$B$9</f>
        <v>364.42376007810191</v>
      </c>
    </row>
    <row r="8" spans="1:10" x14ac:dyDescent="0.25">
      <c r="A8" s="5"/>
      <c r="B8" s="3"/>
      <c r="E8" s="6"/>
      <c r="F8" s="6">
        <f>E9*$B$9</f>
        <v>269.97176151520063</v>
      </c>
      <c r="G8" s="6"/>
      <c r="H8" s="6">
        <f>G9*$B$9</f>
        <v>269.97176151520068</v>
      </c>
      <c r="J8" s="6">
        <f>I9*$B$9</f>
        <v>269.97176151520074</v>
      </c>
    </row>
    <row r="9" spans="1:10" x14ac:dyDescent="0.25">
      <c r="A9" s="5" t="s">
        <v>5</v>
      </c>
      <c r="B9" s="6">
        <f>EXP((B5/100)*SQRT(B6))</f>
        <v>1.3498588075760032</v>
      </c>
      <c r="E9" s="6">
        <f>B3</f>
        <v>200</v>
      </c>
      <c r="F9" s="6"/>
      <c r="G9" s="6">
        <f>F10*$B$9</f>
        <v>200.00000000000003</v>
      </c>
      <c r="H9" s="6"/>
      <c r="I9" s="6">
        <f>H10*$B$9</f>
        <v>200.00000000000006</v>
      </c>
    </row>
    <row r="10" spans="1:10" x14ac:dyDescent="0.25">
      <c r="A10" s="5" t="s">
        <v>6</v>
      </c>
      <c r="B10" s="1">
        <f>1/B9</f>
        <v>0.74081822068171788</v>
      </c>
      <c r="E10" s="6"/>
      <c r="F10" s="6">
        <f>E9*$B$10</f>
        <v>148.16364413634358</v>
      </c>
      <c r="G10" s="6"/>
      <c r="H10" s="6">
        <f>G11*$B$9</f>
        <v>148.16364413634361</v>
      </c>
      <c r="J10" s="6">
        <f>I11*$B$9</f>
        <v>148.16364413634361</v>
      </c>
    </row>
    <row r="11" spans="1:10" x14ac:dyDescent="0.25">
      <c r="A11" s="5"/>
      <c r="E11" s="6"/>
      <c r="F11" s="6"/>
      <c r="G11" s="6">
        <f>F10*$B$10</f>
        <v>109.7623272188053</v>
      </c>
      <c r="H11" s="6"/>
      <c r="I11" s="6">
        <f>H12*$B$9</f>
        <v>109.7623272188053</v>
      </c>
    </row>
    <row r="12" spans="1:10" x14ac:dyDescent="0.25">
      <c r="A12" s="5"/>
      <c r="B12" s="3"/>
      <c r="E12" s="6"/>
      <c r="F12" s="6"/>
      <c r="G12" s="6"/>
      <c r="H12" s="6">
        <f>G11*$B$10</f>
        <v>81.31393194811983</v>
      </c>
      <c r="J12" s="6">
        <f>I13*$B$9</f>
        <v>81.31393194811983</v>
      </c>
    </row>
    <row r="13" spans="1:10" x14ac:dyDescent="0.25">
      <c r="A13" s="5"/>
      <c r="B13" s="7"/>
      <c r="I13" s="6">
        <f>H12*$B$10</f>
        <v>60.238842382440424</v>
      </c>
    </row>
    <row r="14" spans="1:10" x14ac:dyDescent="0.25">
      <c r="J14" s="6">
        <f>I13*$B$10</f>
        <v>44.626032029685973</v>
      </c>
    </row>
    <row r="15" spans="1:10" x14ac:dyDescent="0.25">
      <c r="A15" s="5"/>
      <c r="B15" s="1"/>
    </row>
    <row r="16" spans="1:10" x14ac:dyDescent="0.25">
      <c r="A16" s="5"/>
      <c r="B16" s="1"/>
    </row>
  </sheetData>
  <mergeCells count="2">
    <mergeCell ref="A1:C1"/>
    <mergeCell ref="E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Option valuation</vt:lpstr>
      <vt:lpstr>Intermediate lattices</vt:lpstr>
      <vt:lpstr>Demand lattice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2021-06-16T22:18:42Z</dcterms:created>
  <dcterms:modified xsi:type="dcterms:W3CDTF">2022-02-21T00:52:58Z</dcterms:modified>
</cp:coreProperties>
</file>