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nd folder\4\"/>
    </mc:Choice>
  </mc:AlternateContent>
  <xr:revisionPtr revIDLastSave="0" documentId="13_ncr:1_{DFE4084A-6032-42B0-B584-83A45E0A9536}" xr6:coauthVersionLast="47" xr6:coauthVersionMax="47" xr10:uidLastSave="{00000000-0000-0000-0000-000000000000}"/>
  <bookViews>
    <workbookView xWindow="-120" yWindow="-120" windowWidth="20730" windowHeight="11160" xr2:uid="{26A9574A-ABC2-4E01-B4E3-13D390E7FA8A}"/>
  </bookViews>
  <sheets>
    <sheet name="Option valuation" sheetId="6" r:id="rId1"/>
    <sheet name="Intermediate lattices" sheetId="4" r:id="rId2"/>
    <sheet name="Demand latti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5" i="3"/>
  <c r="B4" i="3"/>
  <c r="B3" i="3"/>
  <c r="E8" i="3" s="1"/>
  <c r="A20" i="4" s="1"/>
  <c r="A9" i="4" l="1"/>
  <c r="A33" i="4" s="1"/>
  <c r="A44" i="4"/>
  <c r="B14" i="6"/>
  <c r="B10" i="6"/>
  <c r="B11" i="6" s="1"/>
  <c r="B8" i="3"/>
  <c r="F7" i="3" s="1"/>
  <c r="G6" i="3" l="1"/>
  <c r="B8" i="4"/>
  <c r="B32" i="4" s="1"/>
  <c r="B19" i="4"/>
  <c r="B43" i="4" s="1"/>
  <c r="A55" i="4"/>
  <c r="B16" i="6"/>
  <c r="B9" i="3"/>
  <c r="F9" i="3" s="1"/>
  <c r="B21" i="4" l="1"/>
  <c r="B45" i="4" s="1"/>
  <c r="B10" i="4"/>
  <c r="B34" i="4" s="1"/>
  <c r="H5" i="3"/>
  <c r="C7" i="4"/>
  <c r="C31" i="4" s="1"/>
  <c r="C18" i="4"/>
  <c r="C42" i="4" s="1"/>
  <c r="B54" i="4"/>
  <c r="B17" i="6"/>
  <c r="G8" i="3"/>
  <c r="G10" i="3"/>
  <c r="C53" i="4" l="1"/>
  <c r="C20" i="4"/>
  <c r="C44" i="4" s="1"/>
  <c r="C9" i="4"/>
  <c r="C33" i="4" s="1"/>
  <c r="C22" i="4"/>
  <c r="C46" i="4" s="1"/>
  <c r="C11" i="4"/>
  <c r="C35" i="4" s="1"/>
  <c r="D17" i="4"/>
  <c r="D41" i="4" s="1"/>
  <c r="D6" i="4"/>
  <c r="D30" i="4" s="1"/>
  <c r="B56" i="4"/>
  <c r="H7" i="3"/>
  <c r="H11" i="3"/>
  <c r="H9" i="3"/>
  <c r="D52" i="4" l="1"/>
  <c r="H7" i="6" s="1"/>
  <c r="D23" i="4"/>
  <c r="D47" i="4" s="1"/>
  <c r="D12" i="4"/>
  <c r="D36" i="4" s="1"/>
  <c r="D10" i="4"/>
  <c r="D34" i="4" s="1"/>
  <c r="D21" i="4"/>
  <c r="D45" i="4" s="1"/>
  <c r="D8" i="4"/>
  <c r="D32" i="4" s="1"/>
  <c r="D19" i="4"/>
  <c r="D43" i="4" s="1"/>
  <c r="C57" i="4"/>
  <c r="C55" i="4"/>
  <c r="D56" i="4" l="1"/>
  <c r="H11" i="6" s="1"/>
  <c r="D54" i="4"/>
  <c r="H9" i="6" s="1"/>
  <c r="G8" i="6" s="1"/>
  <c r="D58" i="4"/>
  <c r="H13" i="6" s="1"/>
  <c r="G12" i="6" l="1"/>
  <c r="G10" i="6"/>
  <c r="F11" i="6" l="1"/>
  <c r="F9" i="6"/>
  <c r="E10" i="6" l="1"/>
  <c r="G16" i="6" s="1"/>
</calcChain>
</file>

<file path=xl/sharedStrings.xml><?xml version="1.0" encoding="utf-8"?>
<sst xmlns="http://schemas.openxmlformats.org/spreadsheetml/2006/main" count="69" uniqueCount="51">
  <si>
    <t>Demand at time 1</t>
  </si>
  <si>
    <t>Demand at time 2</t>
  </si>
  <si>
    <t>Demand at time 3</t>
  </si>
  <si>
    <t>Demand at time 0</t>
  </si>
  <si>
    <t>Up value, U</t>
  </si>
  <si>
    <t>Down value, D</t>
  </si>
  <si>
    <t>LMP at time 0</t>
  </si>
  <si>
    <t>LMP at time 1</t>
  </si>
  <si>
    <t>LMP at time 2</t>
  </si>
  <si>
    <t>LMP at time 3</t>
  </si>
  <si>
    <t>Locational marginal price (LMP) can be found as shadow price after solving the optimal power flow for individual demand at bus 1 from the demand lattice</t>
  </si>
  <si>
    <t>MW</t>
  </si>
  <si>
    <t>LMP for case 1 (in $/MWh)</t>
  </si>
  <si>
    <t>LMP for case 2 (in $/MWh)</t>
  </si>
  <si>
    <t>Cost at time 0</t>
  </si>
  <si>
    <t>Cost at time 1</t>
  </si>
  <si>
    <t>Cost at time 2</t>
  </si>
  <si>
    <t>Cost at time 3</t>
  </si>
  <si>
    <t>This is yearly cost paid by the bus 1 community to fulfill their electricity demand and Cost (in $ million) = Demand (MW) * LMP for that particular demand ($/MWh)* 8760 * 10^-6</t>
  </si>
  <si>
    <t>Cost for case 1 (in $ million)</t>
  </si>
  <si>
    <t>Cost for case 2 (in $ million)</t>
  </si>
  <si>
    <t>Net benefit (in $ million) = Cost for case 1 - Cost for case 2</t>
  </si>
  <si>
    <t>Net benefit at time 0</t>
  </si>
  <si>
    <t>Net benefit at time 1</t>
  </si>
  <si>
    <t>Net benefit at time 2</t>
  </si>
  <si>
    <t>Net benefit at time 3</t>
  </si>
  <si>
    <t>time 0</t>
  </si>
  <si>
    <t>time 1</t>
  </si>
  <si>
    <t>time 2</t>
  </si>
  <si>
    <t>time 3</t>
  </si>
  <si>
    <t>Option value of adding a generator</t>
  </si>
  <si>
    <t>$ million</t>
  </si>
  <si>
    <t>Input of demand lattice</t>
  </si>
  <si>
    <t>Output of demand lattice</t>
  </si>
  <si>
    <t>%/year</t>
  </si>
  <si>
    <t>year</t>
  </si>
  <si>
    <t>% compounded annually</t>
  </si>
  <si>
    <t>% per annum compounded continuously</t>
  </si>
  <si>
    <t>Risk-neutral probabiliy, q</t>
  </si>
  <si>
    <t>1-q</t>
  </si>
  <si>
    <t>Input of option valuation</t>
  </si>
  <si>
    <t>Output of option valuation</t>
  </si>
  <si>
    <t>Initial demand at time 0, S</t>
  </si>
  <si>
    <t>Volatility, σ</t>
  </si>
  <si>
    <t xml:space="preserve">Time-period span, Δ𝑡 </t>
  </si>
  <si>
    <t>Number of time periods, T</t>
  </si>
  <si>
    <t>Risk-free discount rate, r</t>
  </si>
  <si>
    <t>Risk-free discount rate, rf</t>
  </si>
  <si>
    <t>Construction cost, K</t>
  </si>
  <si>
    <t>Option value tree</t>
  </si>
  <si>
    <t>Module 4: Section 1: Option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</si>
</sst>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/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4B83-7DFE-4601-A51A-9A586573AB18}">
  <dimension ref="A1:L19"/>
  <sheetViews>
    <sheetView tabSelected="1" workbookViewId="0">
      <selection activeCell="K10" sqref="K10"/>
    </sheetView>
  </sheetViews>
  <sheetFormatPr defaultRowHeight="15" x14ac:dyDescent="0.25"/>
  <cols>
    <col min="1" max="1" width="24.7109375" bestFit="1" customWidth="1"/>
    <col min="3" max="3" width="37.42578125" bestFit="1" customWidth="1"/>
    <col min="5" max="5" width="16.140625" customWidth="1"/>
    <col min="6" max="6" width="15.5703125" customWidth="1"/>
    <col min="7" max="7" width="16.28515625" customWidth="1"/>
    <col min="8" max="8" width="16.42578125" customWidth="1"/>
  </cols>
  <sheetData>
    <row r="1" spans="1:12" ht="28.5" x14ac:dyDescent="0.45">
      <c r="A1" s="13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8.75" x14ac:dyDescent="0.3">
      <c r="A3" s="11" t="s">
        <v>40</v>
      </c>
      <c r="B3" s="11"/>
      <c r="C3" s="11"/>
      <c r="E3" s="11" t="s">
        <v>41</v>
      </c>
      <c r="F3" s="11"/>
      <c r="G3" s="11"/>
      <c r="H3" s="11"/>
      <c r="I3" s="8"/>
      <c r="J3" s="8"/>
    </row>
    <row r="5" spans="1:12" x14ac:dyDescent="0.25">
      <c r="A5" s="5" t="s">
        <v>42</v>
      </c>
      <c r="B5" s="3">
        <v>200</v>
      </c>
      <c r="C5" t="s">
        <v>11</v>
      </c>
      <c r="F5" s="12" t="s">
        <v>49</v>
      </c>
      <c r="G5" s="12"/>
    </row>
    <row r="6" spans="1:12" x14ac:dyDescent="0.25">
      <c r="A6" s="5" t="s">
        <v>43</v>
      </c>
      <c r="B6" s="3">
        <v>30</v>
      </c>
      <c r="C6" t="s">
        <v>34</v>
      </c>
      <c r="E6" s="3" t="s">
        <v>26</v>
      </c>
      <c r="F6" s="3" t="s">
        <v>27</v>
      </c>
      <c r="G6" s="3" t="s">
        <v>28</v>
      </c>
      <c r="H6" s="3" t="s">
        <v>29</v>
      </c>
    </row>
    <row r="7" spans="1:12" x14ac:dyDescent="0.25">
      <c r="A7" s="5" t="s">
        <v>44</v>
      </c>
      <c r="B7" s="3">
        <v>1</v>
      </c>
      <c r="C7" t="s">
        <v>35</v>
      </c>
      <c r="E7" s="1"/>
      <c r="F7" s="1"/>
      <c r="G7" s="1"/>
      <c r="H7" s="1">
        <f>IF('Intermediate lattices'!D52-$B$19&gt;0,'Intermediate lattices'!D52-$B$19,0)</f>
        <v>0.43865308134336234</v>
      </c>
    </row>
    <row r="8" spans="1:12" x14ac:dyDescent="0.25">
      <c r="A8" s="5" t="s">
        <v>45</v>
      </c>
      <c r="B8" s="3">
        <v>3</v>
      </c>
      <c r="E8" s="1"/>
      <c r="F8" s="1"/>
      <c r="G8" s="1">
        <f>(H7*$B$16+H9*$B$17)*EXP(-$B$7*$B$14/100)</f>
        <v>0.30380592204742102</v>
      </c>
      <c r="H8" s="1"/>
    </row>
    <row r="9" spans="1:12" x14ac:dyDescent="0.25">
      <c r="A9" s="5"/>
      <c r="B9" s="3"/>
      <c r="E9" s="1"/>
      <c r="F9" s="1">
        <f>(G8*$B$16+G10*$B$17)*EXP(-$B$7*$B$14/100)</f>
        <v>0.19123170818318491</v>
      </c>
      <c r="G9" s="1"/>
      <c r="H9" s="1">
        <f>IF('Intermediate lattices'!D54-$B$19&gt;0,'Intermediate lattices'!D54-$B$19,0)</f>
        <v>0.19561907885914351</v>
      </c>
    </row>
    <row r="10" spans="1:12" x14ac:dyDescent="0.25">
      <c r="A10" s="5" t="s">
        <v>4</v>
      </c>
      <c r="B10" s="6">
        <f>EXP((B6/100)*SQRT(B7))</f>
        <v>1.3498588075760032</v>
      </c>
      <c r="E10" s="1">
        <f>(F9*$B$16+F11*$B$17)*EXP(-$B$7*$B$14/100)</f>
        <v>0.11389787870455846</v>
      </c>
      <c r="F10" s="1"/>
      <c r="G10" s="1">
        <f>(H9*$B$16+H11*$B$17)*EXP(-$B$7*$B$14/100)</f>
        <v>9.4577878359222947E-2</v>
      </c>
      <c r="H10" s="1"/>
    </row>
    <row r="11" spans="1:12" x14ac:dyDescent="0.25">
      <c r="A11" s="5" t="s">
        <v>5</v>
      </c>
      <c r="B11" s="1">
        <f>1/B10</f>
        <v>0.74081822068171788</v>
      </c>
      <c r="E11" s="1"/>
      <c r="F11" s="1">
        <f>(G10*$B$16+G12*$B$17)*EXP(-$B$7*$B$14/100)</f>
        <v>4.5726496245148178E-2</v>
      </c>
      <c r="G11" s="1"/>
      <c r="H11" s="1">
        <f>IF('Intermediate lattices'!D56-$B$19&gt;0,'Intermediate lattices'!D56-$B$19,0)</f>
        <v>0</v>
      </c>
    </row>
    <row r="12" spans="1:12" x14ac:dyDescent="0.25">
      <c r="A12" s="5"/>
      <c r="E12" s="1"/>
      <c r="F12" s="1"/>
      <c r="G12" s="1">
        <f>(H11*$B$16+H13*$B$17)*EXP(-$B$7*$B$14/100)</f>
        <v>0</v>
      </c>
      <c r="H12" s="1"/>
    </row>
    <row r="13" spans="1:12" x14ac:dyDescent="0.25">
      <c r="A13" s="5" t="s">
        <v>46</v>
      </c>
      <c r="B13" s="3">
        <v>5</v>
      </c>
      <c r="C13" t="s">
        <v>36</v>
      </c>
      <c r="E13" s="1"/>
      <c r="F13" s="1"/>
      <c r="G13" s="1"/>
      <c r="H13" s="1">
        <f>IF('Intermediate lattices'!D58-$B$19&gt;0,'Intermediate lattices'!D58-$B$19,0)</f>
        <v>0</v>
      </c>
    </row>
    <row r="14" spans="1:12" x14ac:dyDescent="0.25">
      <c r="A14" s="5" t="s">
        <v>47</v>
      </c>
      <c r="B14" s="7">
        <f>(LN(1+B13/100))*100</f>
        <v>4.8790164169432053</v>
      </c>
      <c r="C14" t="s">
        <v>37</v>
      </c>
    </row>
    <row r="16" spans="1:12" x14ac:dyDescent="0.25">
      <c r="A16" s="5" t="s">
        <v>38</v>
      </c>
      <c r="B16" s="1">
        <f>(EXP((B14/100)*B7)-B11)/(B10-B11)</f>
        <v>0.50765381810580157</v>
      </c>
      <c r="E16" s="10" t="s">
        <v>30</v>
      </c>
      <c r="F16" s="10"/>
      <c r="G16" s="9">
        <f>E10</f>
        <v>0.11389787870455846</v>
      </c>
      <c r="H16" s="3" t="s">
        <v>31</v>
      </c>
    </row>
    <row r="17" spans="1:3" x14ac:dyDescent="0.25">
      <c r="A17" s="5" t="s">
        <v>39</v>
      </c>
      <c r="B17" s="1">
        <f>1-B16</f>
        <v>0.49234618189419843</v>
      </c>
    </row>
    <row r="19" spans="1:3" x14ac:dyDescent="0.25">
      <c r="A19" s="5" t="s">
        <v>48</v>
      </c>
      <c r="B19" s="3">
        <v>0.1</v>
      </c>
      <c r="C19" t="s">
        <v>31</v>
      </c>
    </row>
  </sheetData>
  <mergeCells count="5">
    <mergeCell ref="E16:F16"/>
    <mergeCell ref="E3:H3"/>
    <mergeCell ref="A3:C3"/>
    <mergeCell ref="F5:G5"/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8E22-B8C7-49BB-9CE7-BD623844B4CB}">
  <dimension ref="A1:K81"/>
  <sheetViews>
    <sheetView topLeftCell="A25" workbookViewId="0">
      <selection activeCell="D12" sqref="D12"/>
    </sheetView>
  </sheetViews>
  <sheetFormatPr defaultRowHeight="15" x14ac:dyDescent="0.25"/>
  <cols>
    <col min="1" max="1" width="19.7109375" customWidth="1"/>
    <col min="2" max="2" width="19.42578125" customWidth="1"/>
    <col min="3" max="3" width="19.140625" customWidth="1"/>
    <col min="4" max="4" width="21" customWidth="1"/>
  </cols>
  <sheetData>
    <row r="1" spans="1:11" x14ac:dyDescent="0.2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8.75" x14ac:dyDescent="0.3">
      <c r="A3" s="11" t="s">
        <v>12</v>
      </c>
      <c r="B3" s="11"/>
      <c r="C3" s="11"/>
      <c r="D3" s="11"/>
    </row>
    <row r="5" spans="1:11" x14ac:dyDescent="0.25">
      <c r="A5" s="3" t="s">
        <v>6</v>
      </c>
      <c r="B5" s="3" t="s">
        <v>7</v>
      </c>
      <c r="C5" s="3" t="s">
        <v>8</v>
      </c>
      <c r="D5" s="3" t="s">
        <v>9</v>
      </c>
    </row>
    <row r="6" spans="1:11" x14ac:dyDescent="0.25">
      <c r="A6" s="3"/>
      <c r="B6" s="3"/>
      <c r="C6" s="3"/>
      <c r="D6" s="4">
        <f>IF('Demand lattice'!H5&gt;213.07,8.045,7.85)</f>
        <v>8.0449999999999999</v>
      </c>
    </row>
    <row r="7" spans="1:11" x14ac:dyDescent="0.25">
      <c r="B7" s="3"/>
      <c r="C7" s="4">
        <f>IF('Demand lattice'!G6&gt;213.07,8.045,7.85)</f>
        <v>8.0449999999999999</v>
      </c>
      <c r="D7" s="3"/>
    </row>
    <row r="8" spans="1:11" x14ac:dyDescent="0.25">
      <c r="A8" s="3"/>
      <c r="B8" s="4">
        <f>IF('Demand lattice'!F7&gt;213.07,8.045,7.85)</f>
        <v>8.0449999999999999</v>
      </c>
      <c r="C8" s="3"/>
      <c r="D8" s="4">
        <f>IF('Demand lattice'!H7&gt;213.07,8.045,7.85)</f>
        <v>8.0449999999999999</v>
      </c>
    </row>
    <row r="9" spans="1:11" x14ac:dyDescent="0.25">
      <c r="A9" s="3">
        <f>IF('Demand lattice'!E8&gt;213.07,8.045,7.85)</f>
        <v>7.85</v>
      </c>
      <c r="B9" s="3"/>
      <c r="C9" s="4">
        <f>IF('Demand lattice'!G8&gt;213.07,8.045,7.85)</f>
        <v>7.85</v>
      </c>
      <c r="D9" s="3"/>
    </row>
    <row r="10" spans="1:11" x14ac:dyDescent="0.25">
      <c r="A10" s="3"/>
      <c r="B10" s="4">
        <f>IF('Demand lattice'!F9&gt;213.07,8.045,7.85)</f>
        <v>7.85</v>
      </c>
      <c r="C10" s="3"/>
      <c r="D10" s="4">
        <f>IF('Demand lattice'!H9&gt;213.07,8.045,7.85)</f>
        <v>7.85</v>
      </c>
    </row>
    <row r="11" spans="1:11" x14ac:dyDescent="0.25">
      <c r="A11" s="3"/>
      <c r="B11" s="3"/>
      <c r="C11" s="4">
        <f>IF('Demand lattice'!G10&gt;213.07,8.045,7.85)</f>
        <v>7.85</v>
      </c>
      <c r="D11" s="3"/>
    </row>
    <row r="12" spans="1:11" x14ac:dyDescent="0.25">
      <c r="A12" s="3"/>
      <c r="B12" s="3"/>
      <c r="C12" s="3"/>
      <c r="D12" s="4">
        <f>IF('Demand lattice'!H11&gt;213.07,8.045,7.85)</f>
        <v>7.85</v>
      </c>
    </row>
    <row r="14" spans="1:11" ht="18.75" x14ac:dyDescent="0.3">
      <c r="A14" s="11" t="s">
        <v>13</v>
      </c>
      <c r="B14" s="11"/>
      <c r="C14" s="11"/>
      <c r="D14" s="11"/>
    </row>
    <row r="16" spans="1:11" x14ac:dyDescent="0.25">
      <c r="A16" s="3" t="s">
        <v>6</v>
      </c>
      <c r="B16" s="3" t="s">
        <v>7</v>
      </c>
      <c r="C16" s="3" t="s">
        <v>8</v>
      </c>
      <c r="D16" s="3" t="s">
        <v>9</v>
      </c>
    </row>
    <row r="17" spans="1:4" x14ac:dyDescent="0.25">
      <c r="A17" s="3"/>
      <c r="B17" s="3"/>
      <c r="C17" s="3"/>
      <c r="D17" s="4">
        <f>IF('Demand lattice'!H5&gt;213.07,7.92,7.85)</f>
        <v>7.92</v>
      </c>
    </row>
    <row r="18" spans="1:4" x14ac:dyDescent="0.25">
      <c r="A18" s="3"/>
      <c r="B18" s="3"/>
      <c r="C18" s="4">
        <f>IF('Demand lattice'!G6&gt;213.07,7.92,7.85)</f>
        <v>7.92</v>
      </c>
      <c r="D18" s="3"/>
    </row>
    <row r="19" spans="1:4" x14ac:dyDescent="0.25">
      <c r="A19" s="3"/>
      <c r="B19" s="4">
        <f>IF('Demand lattice'!F7&gt;213.07,7.92,7.85)</f>
        <v>7.92</v>
      </c>
      <c r="C19" s="3"/>
      <c r="D19" s="4">
        <f>IF('Demand lattice'!H7&gt;213.07,7.92,7.85)</f>
        <v>7.92</v>
      </c>
    </row>
    <row r="20" spans="1:4" x14ac:dyDescent="0.25">
      <c r="A20" s="4">
        <f>IF('Demand lattice'!E8&gt;213.07,7.92,7.85)</f>
        <v>7.85</v>
      </c>
      <c r="B20" s="3"/>
      <c r="C20" s="4">
        <f>IF('Demand lattice'!G8&gt;213.07,7.92,7.85)</f>
        <v>7.85</v>
      </c>
      <c r="D20" s="3"/>
    </row>
    <row r="21" spans="1:4" x14ac:dyDescent="0.25">
      <c r="A21" s="3"/>
      <c r="B21" s="4">
        <f>IF('Demand lattice'!F9&gt;213.07,7.92,7.85)</f>
        <v>7.85</v>
      </c>
      <c r="C21" s="3"/>
      <c r="D21" s="4">
        <f>IF('Demand lattice'!H9&gt;213.07,7.92,7.85)</f>
        <v>7.85</v>
      </c>
    </row>
    <row r="22" spans="1:4" x14ac:dyDescent="0.25">
      <c r="A22" s="3"/>
      <c r="B22" s="3"/>
      <c r="C22" s="4">
        <f>IF('Demand lattice'!G10&gt;213.07,7.92,7.85)</f>
        <v>7.85</v>
      </c>
      <c r="D22" s="3"/>
    </row>
    <row r="23" spans="1:4" x14ac:dyDescent="0.25">
      <c r="A23" s="3"/>
      <c r="B23" s="3"/>
      <c r="C23" s="3"/>
      <c r="D23" s="4">
        <f>IF('Demand lattice'!H11&gt;213.07,7.92,7.85)</f>
        <v>7.85</v>
      </c>
    </row>
    <row r="25" spans="1:4" x14ac:dyDescent="0.25">
      <c r="A25" t="s">
        <v>18</v>
      </c>
    </row>
    <row r="27" spans="1:4" ht="18.75" x14ac:dyDescent="0.3">
      <c r="A27" s="11" t="s">
        <v>19</v>
      </c>
      <c r="B27" s="11"/>
      <c r="C27" s="11"/>
      <c r="D27" s="11"/>
    </row>
    <row r="29" spans="1:4" x14ac:dyDescent="0.25">
      <c r="A29" s="3" t="s">
        <v>14</v>
      </c>
      <c r="B29" s="3" t="s">
        <v>15</v>
      </c>
      <c r="C29" s="3" t="s">
        <v>16</v>
      </c>
      <c r="D29" s="3" t="s">
        <v>17</v>
      </c>
    </row>
    <row r="30" spans="1:4" x14ac:dyDescent="0.25">
      <c r="A30" s="1"/>
      <c r="B30" s="1"/>
      <c r="C30" s="1"/>
      <c r="D30" s="1">
        <f>'Demand lattice'!H5*D6*8760*10^-6</f>
        <v>34.667712315259422</v>
      </c>
    </row>
    <row r="31" spans="1:4" x14ac:dyDescent="0.25">
      <c r="A31" s="1"/>
      <c r="B31" s="1"/>
      <c r="C31" s="1">
        <f>'Demand lattice'!G6*C7*8760*10^-6</f>
        <v>25.682472952496163</v>
      </c>
      <c r="D31" s="1"/>
    </row>
    <row r="32" spans="1:4" x14ac:dyDescent="0.25">
      <c r="A32" s="1"/>
      <c r="B32" s="1">
        <f>'Demand lattice'!F7*B8*8760*10^-6</f>
        <v>19.026043915374551</v>
      </c>
      <c r="C32" s="1"/>
      <c r="D32" s="1">
        <f>'Demand lattice'!H7*D8*8760*10^-6</f>
        <v>19.026043915374554</v>
      </c>
    </row>
    <row r="33" spans="1:4" x14ac:dyDescent="0.25">
      <c r="A33" s="1">
        <f>'Demand lattice'!E8*A9*8760*10^-6</f>
        <v>13.7532</v>
      </c>
      <c r="B33" s="1"/>
      <c r="C33" s="1">
        <f>'Demand lattice'!G8*C9*8760*10^-6</f>
        <v>13.753200000000001</v>
      </c>
      <c r="D33" s="1"/>
    </row>
    <row r="34" spans="1:4" x14ac:dyDescent="0.25">
      <c r="A34" s="1"/>
      <c r="B34" s="1">
        <f>'Demand lattice'!F9*B10*8760*10^-6</f>
        <v>10.188621152679803</v>
      </c>
      <c r="C34" s="1"/>
      <c r="D34" s="1">
        <f>'Demand lattice'!H9*D10*8760*10^-6</f>
        <v>10.188621152679804</v>
      </c>
    </row>
    <row r="35" spans="1:4" x14ac:dyDescent="0.25">
      <c r="A35" s="1"/>
      <c r="B35" s="1"/>
      <c r="C35" s="1">
        <f>'Demand lattice'!G10*C11*8760*10^-6</f>
        <v>7.5479161935283638</v>
      </c>
      <c r="D35" s="1"/>
    </row>
    <row r="36" spans="1:4" x14ac:dyDescent="0.25">
      <c r="A36" s="1"/>
      <c r="B36" s="1"/>
      <c r="C36" s="1"/>
      <c r="D36" s="1">
        <f>'Demand lattice'!H11*D12*8760*10^-6</f>
        <v>5.5916338443444076</v>
      </c>
    </row>
    <row r="38" spans="1:4" ht="18.75" x14ac:dyDescent="0.3">
      <c r="A38" s="11" t="s">
        <v>20</v>
      </c>
      <c r="B38" s="11"/>
      <c r="C38" s="11"/>
      <c r="D38" s="11"/>
    </row>
    <row r="40" spans="1:4" x14ac:dyDescent="0.25">
      <c r="A40" s="3" t="s">
        <v>14</v>
      </c>
      <c r="B40" s="3" t="s">
        <v>15</v>
      </c>
      <c r="C40" s="3" t="s">
        <v>16</v>
      </c>
      <c r="D40" s="3" t="s">
        <v>17</v>
      </c>
    </row>
    <row r="41" spans="1:4" x14ac:dyDescent="0.25">
      <c r="A41" s="1"/>
      <c r="B41" s="1"/>
      <c r="C41" s="1"/>
      <c r="D41" s="1">
        <f>'Demand lattice'!H5*D17*8760*10^-6</f>
        <v>34.12905923391606</v>
      </c>
    </row>
    <row r="42" spans="1:4" x14ac:dyDescent="0.25">
      <c r="A42" s="1"/>
      <c r="B42" s="1"/>
      <c r="C42" s="1">
        <f>'Demand lattice'!G6*C18*8760*10^-6</f>
        <v>25.283428935210644</v>
      </c>
      <c r="D42" s="1"/>
    </row>
    <row r="43" spans="1:4" x14ac:dyDescent="0.25">
      <c r="A43" s="1"/>
      <c r="B43" s="1">
        <f>'Demand lattice'!F7*B19*8760*10^-6</f>
        <v>18.730424836515407</v>
      </c>
      <c r="C43" s="1"/>
      <c r="D43" s="1">
        <f>'Demand lattice'!H7*D19*8760*10^-6</f>
        <v>18.730424836515411</v>
      </c>
    </row>
    <row r="44" spans="1:4" x14ac:dyDescent="0.25">
      <c r="A44" s="1">
        <f>'Demand lattice'!E8*A20*8760*10^-6</f>
        <v>13.7532</v>
      </c>
      <c r="B44" s="1"/>
      <c r="C44" s="1">
        <f>'Demand lattice'!G8*C20*8760*10^-6</f>
        <v>13.753200000000001</v>
      </c>
      <c r="D44" s="1"/>
    </row>
    <row r="45" spans="1:4" x14ac:dyDescent="0.25">
      <c r="A45" s="1"/>
      <c r="B45" s="1">
        <f>'Demand lattice'!F9*B21*8760*10^-6</f>
        <v>10.188621152679803</v>
      </c>
      <c r="C45" s="1"/>
      <c r="D45" s="1">
        <f>'Demand lattice'!H9*D21*8760*10^-6</f>
        <v>10.188621152679804</v>
      </c>
    </row>
    <row r="46" spans="1:4" x14ac:dyDescent="0.25">
      <c r="A46" s="1"/>
      <c r="B46" s="1"/>
      <c r="C46" s="1">
        <f>'Demand lattice'!G10*C22*8760*10^-6</f>
        <v>7.5479161935283638</v>
      </c>
      <c r="D46" s="1"/>
    </row>
    <row r="47" spans="1:4" x14ac:dyDescent="0.25">
      <c r="A47" s="1"/>
      <c r="B47" s="1"/>
      <c r="C47" s="1"/>
      <c r="D47" s="1">
        <f>'Demand lattice'!H11*D23*8760*10^-6</f>
        <v>5.5916338443444076</v>
      </c>
    </row>
    <row r="49" spans="1:4" ht="18.75" x14ac:dyDescent="0.3">
      <c r="A49" s="11" t="s">
        <v>21</v>
      </c>
      <c r="B49" s="11"/>
      <c r="C49" s="11"/>
      <c r="D49" s="11"/>
    </row>
    <row r="51" spans="1:4" x14ac:dyDescent="0.25">
      <c r="A51" s="3" t="s">
        <v>22</v>
      </c>
      <c r="B51" s="3" t="s">
        <v>23</v>
      </c>
      <c r="C51" s="3" t="s">
        <v>24</v>
      </c>
      <c r="D51" s="3" t="s">
        <v>25</v>
      </c>
    </row>
    <row r="52" spans="1:4" x14ac:dyDescent="0.25">
      <c r="A52" s="1"/>
      <c r="B52" s="1"/>
      <c r="C52" s="1"/>
      <c r="D52" s="1">
        <f>D30-D41</f>
        <v>0.53865308134336232</v>
      </c>
    </row>
    <row r="53" spans="1:4" x14ac:dyDescent="0.25">
      <c r="A53" s="1"/>
      <c r="B53" s="1"/>
      <c r="C53" s="1">
        <f>C31-C42</f>
        <v>0.39904401728551875</v>
      </c>
      <c r="D53" s="1"/>
    </row>
    <row r="54" spans="1:4" x14ac:dyDescent="0.25">
      <c r="A54" s="1"/>
      <c r="B54" s="1">
        <f>B32-B43</f>
        <v>0.29561907885914351</v>
      </c>
      <c r="C54" s="1"/>
      <c r="D54" s="1">
        <f>D32-D43</f>
        <v>0.29561907885914351</v>
      </c>
    </row>
    <row r="55" spans="1:4" x14ac:dyDescent="0.25">
      <c r="A55" s="1">
        <f>A33-A44</f>
        <v>0</v>
      </c>
      <c r="B55" s="1"/>
      <c r="C55" s="1">
        <f>C33-C44</f>
        <v>0</v>
      </c>
      <c r="D55" s="1"/>
    </row>
    <row r="56" spans="1:4" x14ac:dyDescent="0.25">
      <c r="A56" s="1"/>
      <c r="B56" s="1">
        <f>B34-B45</f>
        <v>0</v>
      </c>
      <c r="C56" s="1"/>
      <c r="D56" s="1">
        <f>D34-D45</f>
        <v>0</v>
      </c>
    </row>
    <row r="57" spans="1:4" x14ac:dyDescent="0.25">
      <c r="A57" s="1"/>
      <c r="B57" s="1"/>
      <c r="C57" s="1">
        <f>C35-C46</f>
        <v>0</v>
      </c>
      <c r="D57" s="1"/>
    </row>
    <row r="58" spans="1:4" x14ac:dyDescent="0.25">
      <c r="A58" s="1"/>
      <c r="B58" s="1"/>
      <c r="C58" s="1"/>
      <c r="D58" s="1">
        <f>D36-D47</f>
        <v>0</v>
      </c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81" spans="1:4" x14ac:dyDescent="0.25">
      <c r="A81" s="10"/>
      <c r="B81" s="10"/>
      <c r="C81" s="1"/>
      <c r="D81" s="3"/>
    </row>
  </sheetData>
  <mergeCells count="6">
    <mergeCell ref="A81:B81"/>
    <mergeCell ref="A3:D3"/>
    <mergeCell ref="A14:D14"/>
    <mergeCell ref="A27:D27"/>
    <mergeCell ref="A38:D38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72C7-A2DA-4E04-AFC1-DA325590CE8E}">
  <dimension ref="A1:H15"/>
  <sheetViews>
    <sheetView workbookViewId="0">
      <selection activeCell="C23" sqref="C23"/>
    </sheetView>
  </sheetViews>
  <sheetFormatPr defaultRowHeight="15" x14ac:dyDescent="0.25"/>
  <cols>
    <col min="1" max="1" width="24.7109375" bestFit="1" customWidth="1"/>
    <col min="2" max="2" width="9.28515625" customWidth="1"/>
    <col min="3" max="3" width="37.42578125" bestFit="1" customWidth="1"/>
    <col min="5" max="8" width="16.7109375" bestFit="1" customWidth="1"/>
  </cols>
  <sheetData>
    <row r="1" spans="1:8" ht="18.75" x14ac:dyDescent="0.3">
      <c r="A1" s="11" t="s">
        <v>32</v>
      </c>
      <c r="B1" s="11"/>
      <c r="C1" s="11"/>
      <c r="E1" s="11" t="s">
        <v>33</v>
      </c>
      <c r="F1" s="11"/>
      <c r="G1" s="11"/>
      <c r="H1" s="11"/>
    </row>
    <row r="3" spans="1:8" x14ac:dyDescent="0.25">
      <c r="A3" s="5" t="s">
        <v>42</v>
      </c>
      <c r="B3" s="3">
        <f>'Option valuation'!B5</f>
        <v>200</v>
      </c>
      <c r="C3" t="s">
        <v>11</v>
      </c>
      <c r="E3" s="3" t="s">
        <v>3</v>
      </c>
      <c r="F3" s="3" t="s">
        <v>0</v>
      </c>
      <c r="G3" s="3" t="s">
        <v>1</v>
      </c>
      <c r="H3" s="3" t="s">
        <v>2</v>
      </c>
    </row>
    <row r="4" spans="1:8" x14ac:dyDescent="0.25">
      <c r="A4" s="5" t="s">
        <v>43</v>
      </c>
      <c r="B4" s="3">
        <f>'Option valuation'!B6</f>
        <v>30</v>
      </c>
      <c r="C4" t="s">
        <v>34</v>
      </c>
    </row>
    <row r="5" spans="1:8" x14ac:dyDescent="0.25">
      <c r="A5" s="5" t="s">
        <v>44</v>
      </c>
      <c r="B5" s="3">
        <f>'Option valuation'!B7</f>
        <v>1</v>
      </c>
      <c r="C5" t="s">
        <v>35</v>
      </c>
      <c r="E5" s="6"/>
      <c r="F5" s="6"/>
      <c r="G5" s="6"/>
      <c r="H5" s="6">
        <f>G6*$B$8</f>
        <v>491.92062223139004</v>
      </c>
    </row>
    <row r="6" spans="1:8" x14ac:dyDescent="0.25">
      <c r="A6" s="5" t="s">
        <v>45</v>
      </c>
      <c r="B6" s="3">
        <f>'Option valuation'!B8</f>
        <v>3</v>
      </c>
      <c r="E6" s="6"/>
      <c r="F6" s="6"/>
      <c r="G6" s="6">
        <f>F7*$B$8</f>
        <v>364.42376007810185</v>
      </c>
      <c r="H6" s="6"/>
    </row>
    <row r="7" spans="1:8" x14ac:dyDescent="0.25">
      <c r="A7" s="5"/>
      <c r="B7" s="3"/>
      <c r="E7" s="6"/>
      <c r="F7" s="6">
        <f>E8*$B$8</f>
        <v>269.97176151520063</v>
      </c>
      <c r="G7" s="6"/>
      <c r="H7" s="6">
        <f>G8*$B$8</f>
        <v>269.97176151520068</v>
      </c>
    </row>
    <row r="8" spans="1:8" x14ac:dyDescent="0.25">
      <c r="A8" s="5" t="s">
        <v>4</v>
      </c>
      <c r="B8" s="6">
        <f>EXP((B4/100)*SQRT(B5))</f>
        <v>1.3498588075760032</v>
      </c>
      <c r="E8" s="6">
        <f>B3</f>
        <v>200</v>
      </c>
      <c r="F8" s="6"/>
      <c r="G8" s="6">
        <f>F9*$B$8</f>
        <v>200.00000000000003</v>
      </c>
      <c r="H8" s="6"/>
    </row>
    <row r="9" spans="1:8" x14ac:dyDescent="0.25">
      <c r="A9" s="5" t="s">
        <v>5</v>
      </c>
      <c r="B9" s="1">
        <f>1/B8</f>
        <v>0.74081822068171788</v>
      </c>
      <c r="E9" s="6"/>
      <c r="F9" s="6">
        <f>E8*$B$9</f>
        <v>148.16364413634358</v>
      </c>
      <c r="G9" s="6"/>
      <c r="H9" s="6">
        <f>G10*$B$8</f>
        <v>148.16364413634361</v>
      </c>
    </row>
    <row r="10" spans="1:8" x14ac:dyDescent="0.25">
      <c r="A10" s="5"/>
      <c r="E10" s="6"/>
      <c r="F10" s="6"/>
      <c r="G10" s="6">
        <f>F9*$B$9</f>
        <v>109.7623272188053</v>
      </c>
      <c r="H10" s="6"/>
    </row>
    <row r="11" spans="1:8" x14ac:dyDescent="0.25">
      <c r="A11" s="5"/>
      <c r="B11" s="3"/>
      <c r="E11" s="6"/>
      <c r="F11" s="6"/>
      <c r="G11" s="6"/>
      <c r="H11" s="6">
        <f>G10*$B$9</f>
        <v>81.31393194811983</v>
      </c>
    </row>
    <row r="12" spans="1:8" x14ac:dyDescent="0.25">
      <c r="A12" s="5"/>
      <c r="B12" s="7"/>
    </row>
    <row r="14" spans="1:8" x14ac:dyDescent="0.25">
      <c r="A14" s="5"/>
      <c r="B14" s="1"/>
    </row>
    <row r="15" spans="1:8" x14ac:dyDescent="0.25">
      <c r="A15" s="5"/>
      <c r="B15" s="1"/>
    </row>
  </sheetData>
  <mergeCells count="2">
    <mergeCell ref="A1:C1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 valuation</vt:lpstr>
      <vt:lpstr>Intermediate lattices</vt:lpstr>
      <vt:lpstr>Demand lattice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2021-06-16T22:18:42Z</dcterms:created>
  <dcterms:modified xsi:type="dcterms:W3CDTF">2021-06-22T21:17:59Z</dcterms:modified>
</cp:coreProperties>
</file>