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825" windowWidth="8040" windowHeight="4890" tabRatio="588" firstSheet="6" activeTab="10"/>
  </bookViews>
  <sheets>
    <sheet name="Comm Payload" sheetId="2" r:id="rId1"/>
    <sheet name="Throughput" sheetId="14" r:id="rId2"/>
    <sheet name="Power output" sheetId="15" r:id="rId3"/>
    <sheet name="Receiver sensitivity" sheetId="24" r:id="rId4"/>
    <sheet name="Mesh capability" sheetId="31" r:id="rId5"/>
    <sheet name="Traffic type" sheetId="22" r:id="rId6"/>
    <sheet name="Power consumption" sheetId="29" r:id="rId7"/>
    <sheet name="Weight" sheetId="30" r:id="rId8"/>
    <sheet name="Technology maturity" sheetId="19" r:id="rId9"/>
    <sheet name="Tradeoff weights" sheetId="25" r:id="rId10"/>
    <sheet name="MoE" sheetId="27" r:id="rId11"/>
    <sheet name="Cost effectiveness" sheetId="28" r:id="rId12"/>
  </sheets>
  <definedNames>
    <definedName name="solver_adj" localSheetId="4" hidden="1">'Mesh capability'!$B$13:$B$14</definedName>
    <definedName name="solver_adj" localSheetId="6" hidden="1">'Power consumption'!$B$14:$B$15</definedName>
    <definedName name="solver_adj" localSheetId="2" hidden="1">'Power output'!$B$14:$B$15</definedName>
    <definedName name="solver_adj" localSheetId="3" hidden="1">'Receiver sensitivity'!$B$14:$B$15</definedName>
    <definedName name="solver_adj" localSheetId="8" hidden="1">'Technology maturity'!$B$14:$B$15</definedName>
    <definedName name="solver_adj" localSheetId="1" hidden="1">Throughput!$B$6</definedName>
    <definedName name="solver_adj" localSheetId="5" hidden="1">'Traffic type'!$B$14:$B$15</definedName>
    <definedName name="solver_adj" localSheetId="7" hidden="1">Weight!$B$14:$B$15</definedName>
    <definedName name="solver_cvg" localSheetId="4" hidden="1">0.0001</definedName>
    <definedName name="solver_cvg" localSheetId="6" hidden="1">0.0001</definedName>
    <definedName name="solver_cvg" localSheetId="2" hidden="1">0.0001</definedName>
    <definedName name="solver_cvg" localSheetId="3" hidden="1">0.0001</definedName>
    <definedName name="solver_cvg" localSheetId="8" hidden="1">0.0001</definedName>
    <definedName name="solver_cvg" localSheetId="1" hidden="1">0.0001</definedName>
    <definedName name="solver_cvg" localSheetId="5" hidden="1">0.0001</definedName>
    <definedName name="solver_cvg" localSheetId="7" hidden="1">0.0001</definedName>
    <definedName name="solver_drv" localSheetId="4" hidden="1">1</definedName>
    <definedName name="solver_drv" localSheetId="6" hidden="1">1</definedName>
    <definedName name="solver_drv" localSheetId="2" hidden="1">1</definedName>
    <definedName name="solver_drv" localSheetId="3" hidden="1">1</definedName>
    <definedName name="solver_drv" localSheetId="8" hidden="1">1</definedName>
    <definedName name="solver_drv" localSheetId="1" hidden="1">1</definedName>
    <definedName name="solver_drv" localSheetId="5" hidden="1">1</definedName>
    <definedName name="solver_drv" localSheetId="7" hidden="1">1</definedName>
    <definedName name="solver_eng" localSheetId="4" hidden="1">1</definedName>
    <definedName name="solver_eng" localSheetId="6" hidden="1">1</definedName>
    <definedName name="solver_eng" localSheetId="2" hidden="1">1</definedName>
    <definedName name="solver_eng" localSheetId="3" hidden="1">1</definedName>
    <definedName name="solver_eng" localSheetId="8" hidden="1">1</definedName>
    <definedName name="solver_eng" localSheetId="1" hidden="1">1</definedName>
    <definedName name="solver_eng" localSheetId="5" hidden="1">1</definedName>
    <definedName name="solver_eng" localSheetId="7" hidden="1">1</definedName>
    <definedName name="solver_est" localSheetId="4" hidden="1">1</definedName>
    <definedName name="solver_est" localSheetId="6" hidden="1">1</definedName>
    <definedName name="solver_est" localSheetId="2" hidden="1">1</definedName>
    <definedName name="solver_est" localSheetId="3" hidden="1">1</definedName>
    <definedName name="solver_est" localSheetId="8" hidden="1">1</definedName>
    <definedName name="solver_est" localSheetId="1" hidden="1">1</definedName>
    <definedName name="solver_est" localSheetId="5" hidden="1">1</definedName>
    <definedName name="solver_est" localSheetId="7" hidden="1">1</definedName>
    <definedName name="solver_itr" localSheetId="4" hidden="1">2147483647</definedName>
    <definedName name="solver_itr" localSheetId="6" hidden="1">2147483647</definedName>
    <definedName name="solver_itr" localSheetId="2" hidden="1">2147483647</definedName>
    <definedName name="solver_itr" localSheetId="3" hidden="1">2147483647</definedName>
    <definedName name="solver_itr" localSheetId="8" hidden="1">2147483647</definedName>
    <definedName name="solver_itr" localSheetId="1" hidden="1">2147483647</definedName>
    <definedName name="solver_itr" localSheetId="5" hidden="1">2147483647</definedName>
    <definedName name="solver_itr" localSheetId="7" hidden="1">2147483647</definedName>
    <definedName name="solver_lhs1" localSheetId="4" hidden="1">'Mesh capability'!$B$14</definedName>
    <definedName name="solver_lhs1" localSheetId="6" hidden="1">'Power consumption'!$B$15</definedName>
    <definedName name="solver_lhs1" localSheetId="2" hidden="1">'Power output'!$B$15</definedName>
    <definedName name="solver_lhs1" localSheetId="3" hidden="1">'Receiver sensitivity'!$B$15</definedName>
    <definedName name="solver_lhs1" localSheetId="8" hidden="1">'Technology maturity'!$B$15</definedName>
    <definedName name="solver_lhs1" localSheetId="1" hidden="1">Throughput!$B$7</definedName>
    <definedName name="solver_lhs1" localSheetId="5" hidden="1">'Traffic type'!$B$15</definedName>
    <definedName name="solver_lhs1" localSheetId="7" hidden="1">Weight!$B$15</definedName>
    <definedName name="solver_mip" localSheetId="4" hidden="1">2147483647</definedName>
    <definedName name="solver_mip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8" hidden="1">2147483647</definedName>
    <definedName name="solver_mip" localSheetId="1" hidden="1">2147483647</definedName>
    <definedName name="solver_mip" localSheetId="5" hidden="1">2147483647</definedName>
    <definedName name="solver_mip" localSheetId="7" hidden="1">2147483647</definedName>
    <definedName name="solver_mni" localSheetId="4" hidden="1">30</definedName>
    <definedName name="solver_mni" localSheetId="6" hidden="1">30</definedName>
    <definedName name="solver_mni" localSheetId="2" hidden="1">30</definedName>
    <definedName name="solver_mni" localSheetId="3" hidden="1">30</definedName>
    <definedName name="solver_mni" localSheetId="8" hidden="1">30</definedName>
    <definedName name="solver_mni" localSheetId="1" hidden="1">30</definedName>
    <definedName name="solver_mni" localSheetId="5" hidden="1">30</definedName>
    <definedName name="solver_mni" localSheetId="7" hidden="1">30</definedName>
    <definedName name="solver_mrt" localSheetId="4" hidden="1">0.075</definedName>
    <definedName name="solver_mrt" localSheetId="6" hidden="1">0.075</definedName>
    <definedName name="solver_mrt" localSheetId="2" hidden="1">0.075</definedName>
    <definedName name="solver_mrt" localSheetId="3" hidden="1">0.075</definedName>
    <definedName name="solver_mrt" localSheetId="8" hidden="1">0.075</definedName>
    <definedName name="solver_mrt" localSheetId="1" hidden="1">0.075</definedName>
    <definedName name="solver_mrt" localSheetId="5" hidden="1">0.075</definedName>
    <definedName name="solver_mrt" localSheetId="7" hidden="1">0.075</definedName>
    <definedName name="solver_msl" localSheetId="4" hidden="1">2</definedName>
    <definedName name="solver_msl" localSheetId="6" hidden="1">2</definedName>
    <definedName name="solver_msl" localSheetId="2" hidden="1">2</definedName>
    <definedName name="solver_msl" localSheetId="3" hidden="1">2</definedName>
    <definedName name="solver_msl" localSheetId="8" hidden="1">2</definedName>
    <definedName name="solver_msl" localSheetId="1" hidden="1">2</definedName>
    <definedName name="solver_msl" localSheetId="5" hidden="1">2</definedName>
    <definedName name="solver_msl" localSheetId="7" hidden="1">2</definedName>
    <definedName name="solver_neg" localSheetId="4" hidden="1">2</definedName>
    <definedName name="solver_neg" localSheetId="6" hidden="1">2</definedName>
    <definedName name="solver_neg" localSheetId="2" hidden="1">2</definedName>
    <definedName name="solver_neg" localSheetId="3" hidden="1">2</definedName>
    <definedName name="solver_neg" localSheetId="8" hidden="1">2</definedName>
    <definedName name="solver_neg" localSheetId="1" hidden="1">2</definedName>
    <definedName name="solver_neg" localSheetId="5" hidden="1">2</definedName>
    <definedName name="solver_neg" localSheetId="7" hidden="1">2</definedName>
    <definedName name="solver_nod" localSheetId="4" hidden="1">2147483647</definedName>
    <definedName name="solver_nod" localSheetId="6" hidden="1">2147483647</definedName>
    <definedName name="solver_nod" localSheetId="2" hidden="1">2147483647</definedName>
    <definedName name="solver_nod" localSheetId="3" hidden="1">2147483647</definedName>
    <definedName name="solver_nod" localSheetId="8" hidden="1">2147483647</definedName>
    <definedName name="solver_nod" localSheetId="1" hidden="1">2147483647</definedName>
    <definedName name="solver_nod" localSheetId="5" hidden="1">2147483647</definedName>
    <definedName name="solver_nod" localSheetId="7" hidden="1">2147483647</definedName>
    <definedName name="solver_num" localSheetId="4" hidden="1">1</definedName>
    <definedName name="solver_num" localSheetId="6" hidden="1">1</definedName>
    <definedName name="solver_num" localSheetId="2" hidden="1">1</definedName>
    <definedName name="solver_num" localSheetId="3" hidden="1">1</definedName>
    <definedName name="solver_num" localSheetId="8" hidden="1">1</definedName>
    <definedName name="solver_num" localSheetId="1" hidden="1">1</definedName>
    <definedName name="solver_num" localSheetId="5" hidden="1">1</definedName>
    <definedName name="solver_num" localSheetId="7" hidden="1">1</definedName>
    <definedName name="solver_nwt" localSheetId="4" hidden="1">1</definedName>
    <definedName name="solver_nwt" localSheetId="6" hidden="1">1</definedName>
    <definedName name="solver_nwt" localSheetId="2" hidden="1">1</definedName>
    <definedName name="solver_nwt" localSheetId="3" hidden="1">1</definedName>
    <definedName name="solver_nwt" localSheetId="8" hidden="1">1</definedName>
    <definedName name="solver_nwt" localSheetId="1" hidden="1">1</definedName>
    <definedName name="solver_nwt" localSheetId="5" hidden="1">1</definedName>
    <definedName name="solver_nwt" localSheetId="7" hidden="1">1</definedName>
    <definedName name="solver_opt" localSheetId="4" hidden="1">'Mesh capability'!$Q$13</definedName>
    <definedName name="solver_opt" localSheetId="6" hidden="1">'Power consumption'!$Q$14</definedName>
    <definedName name="solver_opt" localSheetId="2" hidden="1">'Power output'!$Q$14</definedName>
    <definedName name="solver_opt" localSheetId="3" hidden="1">'Receiver sensitivity'!$Q$14</definedName>
    <definedName name="solver_opt" localSheetId="8" hidden="1">'Technology maturity'!$Q$14</definedName>
    <definedName name="solver_opt" localSheetId="1" hidden="1">Throughput!$Q$6</definedName>
    <definedName name="solver_opt" localSheetId="5" hidden="1">'Traffic type'!$Q$14</definedName>
    <definedName name="solver_opt" localSheetId="7" hidden="1">Weight!$Q$14</definedName>
    <definedName name="solver_pre" localSheetId="4" hidden="1">0.000001</definedName>
    <definedName name="solver_pre" localSheetId="6" hidden="1">0.000001</definedName>
    <definedName name="solver_pre" localSheetId="2" hidden="1">0.000001</definedName>
    <definedName name="solver_pre" localSheetId="3" hidden="1">0.000001</definedName>
    <definedName name="solver_pre" localSheetId="8" hidden="1">0.000001</definedName>
    <definedName name="solver_pre" localSheetId="1" hidden="1">0.000001</definedName>
    <definedName name="solver_pre" localSheetId="5" hidden="1">0.000001</definedName>
    <definedName name="solver_pre" localSheetId="7" hidden="1">0.000001</definedName>
    <definedName name="solver_rbv" localSheetId="4" hidden="1">2</definedName>
    <definedName name="solver_rbv" localSheetId="6" hidden="1">2</definedName>
    <definedName name="solver_rbv" localSheetId="2" hidden="1">2</definedName>
    <definedName name="solver_rbv" localSheetId="3" hidden="1">2</definedName>
    <definedName name="solver_rbv" localSheetId="8" hidden="1">2</definedName>
    <definedName name="solver_rbv" localSheetId="1" hidden="1">2</definedName>
    <definedName name="solver_rbv" localSheetId="5" hidden="1">2</definedName>
    <definedName name="solver_rbv" localSheetId="7" hidden="1">2</definedName>
    <definedName name="solver_rel1" localSheetId="4" hidden="1">3</definedName>
    <definedName name="solver_rel1" localSheetId="6" hidden="1">3</definedName>
    <definedName name="solver_rel1" localSheetId="2" hidden="1">3</definedName>
    <definedName name="solver_rel1" localSheetId="3" hidden="1">3</definedName>
    <definedName name="solver_rel1" localSheetId="8" hidden="1">3</definedName>
    <definedName name="solver_rel1" localSheetId="1" hidden="1">3</definedName>
    <definedName name="solver_rel1" localSheetId="5" hidden="1">3</definedName>
    <definedName name="solver_rel1" localSheetId="7" hidden="1">3</definedName>
    <definedName name="solver_rhs1" localSheetId="4" hidden="1">0</definedName>
    <definedName name="solver_rhs1" localSheetId="6" hidden="1">0</definedName>
    <definedName name="solver_rhs1" localSheetId="2" hidden="1">0</definedName>
    <definedName name="solver_rhs1" localSheetId="3" hidden="1">0</definedName>
    <definedName name="solver_rhs1" localSheetId="8" hidden="1">0</definedName>
    <definedName name="solver_rhs1" localSheetId="1" hidden="1">0</definedName>
    <definedName name="solver_rhs1" localSheetId="5" hidden="1">0</definedName>
    <definedName name="solver_rhs1" localSheetId="7" hidden="1">0</definedName>
    <definedName name="solver_rlx" localSheetId="4" hidden="1">2</definedName>
    <definedName name="solver_rlx" localSheetId="6" hidden="1">2</definedName>
    <definedName name="solver_rlx" localSheetId="2" hidden="1">2</definedName>
    <definedName name="solver_rlx" localSheetId="3" hidden="1">2</definedName>
    <definedName name="solver_rlx" localSheetId="8" hidden="1">2</definedName>
    <definedName name="solver_rlx" localSheetId="1" hidden="1">2</definedName>
    <definedName name="solver_rlx" localSheetId="5" hidden="1">2</definedName>
    <definedName name="solver_rlx" localSheetId="7" hidden="1">2</definedName>
    <definedName name="solver_rsd" localSheetId="4" hidden="1">0</definedName>
    <definedName name="solver_rsd" localSheetId="6" hidden="1">0</definedName>
    <definedName name="solver_rsd" localSheetId="2" hidden="1">0</definedName>
    <definedName name="solver_rsd" localSheetId="3" hidden="1">0</definedName>
    <definedName name="solver_rsd" localSheetId="8" hidden="1">0</definedName>
    <definedName name="solver_rsd" localSheetId="1" hidden="1">0</definedName>
    <definedName name="solver_rsd" localSheetId="5" hidden="1">0</definedName>
    <definedName name="solver_rsd" localSheetId="7" hidden="1">0</definedName>
    <definedName name="solver_scl" localSheetId="4" hidden="1">1</definedName>
    <definedName name="solver_scl" localSheetId="6" hidden="1">1</definedName>
    <definedName name="solver_scl" localSheetId="2" hidden="1">1</definedName>
    <definedName name="solver_scl" localSheetId="3" hidden="1">1</definedName>
    <definedName name="solver_scl" localSheetId="8" hidden="1">1</definedName>
    <definedName name="solver_scl" localSheetId="1" hidden="1">1</definedName>
    <definedName name="solver_scl" localSheetId="5" hidden="1">1</definedName>
    <definedName name="solver_scl" localSheetId="7" hidden="1">1</definedName>
    <definedName name="solver_sho" localSheetId="4" hidden="1">2</definedName>
    <definedName name="solver_sho" localSheetId="6" hidden="1">2</definedName>
    <definedName name="solver_sho" localSheetId="2" hidden="1">2</definedName>
    <definedName name="solver_sho" localSheetId="3" hidden="1">2</definedName>
    <definedName name="solver_sho" localSheetId="8" hidden="1">2</definedName>
    <definedName name="solver_sho" localSheetId="1" hidden="1">2</definedName>
    <definedName name="solver_sho" localSheetId="5" hidden="1">2</definedName>
    <definedName name="solver_sho" localSheetId="7" hidden="1">2</definedName>
    <definedName name="solver_ssz" localSheetId="4" hidden="1">100</definedName>
    <definedName name="solver_ssz" localSheetId="6" hidden="1">100</definedName>
    <definedName name="solver_ssz" localSheetId="2" hidden="1">100</definedName>
    <definedName name="solver_ssz" localSheetId="3" hidden="1">100</definedName>
    <definedName name="solver_ssz" localSheetId="8" hidden="1">100</definedName>
    <definedName name="solver_ssz" localSheetId="1" hidden="1">100</definedName>
    <definedName name="solver_ssz" localSheetId="5" hidden="1">100</definedName>
    <definedName name="solver_ssz" localSheetId="7" hidden="1">100</definedName>
    <definedName name="solver_tim" localSheetId="4" hidden="1">2147483647</definedName>
    <definedName name="solver_tim" localSheetId="6" hidden="1">2147483647</definedName>
    <definedName name="solver_tim" localSheetId="2" hidden="1">2147483647</definedName>
    <definedName name="solver_tim" localSheetId="3" hidden="1">2147483647</definedName>
    <definedName name="solver_tim" localSheetId="8" hidden="1">2147483647</definedName>
    <definedName name="solver_tim" localSheetId="1" hidden="1">2147483647</definedName>
    <definedName name="solver_tim" localSheetId="5" hidden="1">2147483647</definedName>
    <definedName name="solver_tim" localSheetId="7" hidden="1">2147483647</definedName>
    <definedName name="solver_tol" localSheetId="4" hidden="1">0.01</definedName>
    <definedName name="solver_tol" localSheetId="6" hidden="1">0.01</definedName>
    <definedName name="solver_tol" localSheetId="2" hidden="1">0.01</definedName>
    <definedName name="solver_tol" localSheetId="3" hidden="1">0.01</definedName>
    <definedName name="solver_tol" localSheetId="8" hidden="1">0.01</definedName>
    <definedName name="solver_tol" localSheetId="1" hidden="1">0.01</definedName>
    <definedName name="solver_tol" localSheetId="5" hidden="1">0.01</definedName>
    <definedName name="solver_tol" localSheetId="7" hidden="1">0.01</definedName>
    <definedName name="solver_typ" localSheetId="4" hidden="1">2</definedName>
    <definedName name="solver_typ" localSheetId="6" hidden="1">2</definedName>
    <definedName name="solver_typ" localSheetId="2" hidden="1">2</definedName>
    <definedName name="solver_typ" localSheetId="3" hidden="1">2</definedName>
    <definedName name="solver_typ" localSheetId="8" hidden="1">2</definedName>
    <definedName name="solver_typ" localSheetId="1" hidden="1">2</definedName>
    <definedName name="solver_typ" localSheetId="5" hidden="1">2</definedName>
    <definedName name="solver_typ" localSheetId="7" hidden="1">2</definedName>
    <definedName name="solver_val" localSheetId="4" hidden="1">0</definedName>
    <definedName name="solver_val" localSheetId="6" hidden="1">0</definedName>
    <definedName name="solver_val" localSheetId="2" hidden="1">0</definedName>
    <definedName name="solver_val" localSheetId="3" hidden="1">0</definedName>
    <definedName name="solver_val" localSheetId="8" hidden="1">0</definedName>
    <definedName name="solver_val" localSheetId="1" hidden="1">0</definedName>
    <definedName name="solver_val" localSheetId="5" hidden="1">0</definedName>
    <definedName name="solver_val" localSheetId="7" hidden="1">0</definedName>
    <definedName name="solver_ver" localSheetId="4" hidden="1">3</definedName>
    <definedName name="solver_ver" localSheetId="6" hidden="1">3</definedName>
    <definedName name="solver_ver" localSheetId="2" hidden="1">3</definedName>
    <definedName name="solver_ver" localSheetId="3" hidden="1">3</definedName>
    <definedName name="solver_ver" localSheetId="8" hidden="1">3</definedName>
    <definedName name="solver_ver" localSheetId="1" hidden="1">3</definedName>
    <definedName name="solver_ver" localSheetId="5" hidden="1">3</definedName>
    <definedName name="solver_ver" localSheetId="7" hidden="1">3</definedName>
  </definedNames>
  <calcPr calcId="145621"/>
</workbook>
</file>

<file path=xl/calcChain.xml><?xml version="1.0" encoding="utf-8"?>
<calcChain xmlns="http://schemas.openxmlformats.org/spreadsheetml/2006/main">
  <c r="J12" i="27" l="1"/>
  <c r="I12" i="27"/>
  <c r="H12" i="27"/>
  <c r="G12" i="27"/>
  <c r="F12" i="27"/>
  <c r="E12" i="27"/>
  <c r="D12" i="27"/>
  <c r="C12" i="27"/>
  <c r="B12" i="27"/>
  <c r="J9" i="27"/>
  <c r="I9" i="27"/>
  <c r="H9" i="27"/>
  <c r="G9" i="27"/>
  <c r="F9" i="27"/>
  <c r="E9" i="27"/>
  <c r="D9" i="27"/>
  <c r="C9" i="27"/>
  <c r="J6" i="27"/>
  <c r="I6" i="27"/>
  <c r="H6" i="27"/>
  <c r="G6" i="27"/>
  <c r="F6" i="27"/>
  <c r="E6" i="27"/>
  <c r="D6" i="27"/>
  <c r="C6" i="27"/>
  <c r="J5" i="27"/>
  <c r="I5" i="27"/>
  <c r="H5" i="27"/>
  <c r="G5" i="27"/>
  <c r="F5" i="27"/>
  <c r="E5" i="27"/>
  <c r="D5" i="27"/>
  <c r="C5" i="27"/>
  <c r="J4" i="27"/>
  <c r="I4" i="27"/>
  <c r="H4" i="27"/>
  <c r="G4" i="27"/>
  <c r="F4" i="27"/>
  <c r="E4" i="27"/>
  <c r="D4" i="27"/>
  <c r="C4" i="27"/>
  <c r="J3" i="27"/>
  <c r="I3" i="27"/>
  <c r="H3" i="27"/>
  <c r="G3" i="27"/>
  <c r="F3" i="27"/>
  <c r="E3" i="27"/>
  <c r="D3" i="27"/>
  <c r="C3" i="27"/>
  <c r="J2" i="27"/>
  <c r="I2" i="27"/>
  <c r="H2" i="27"/>
  <c r="G2" i="27"/>
  <c r="F2" i="27"/>
  <c r="E2" i="27"/>
  <c r="D2" i="27"/>
  <c r="C2" i="27"/>
  <c r="T105" i="24"/>
  <c r="T104" i="24"/>
  <c r="T103" i="24"/>
  <c r="T102" i="24"/>
  <c r="T101" i="24"/>
  <c r="T100" i="24"/>
  <c r="T99" i="24"/>
  <c r="T98" i="24"/>
  <c r="T97" i="24"/>
  <c r="T96" i="24"/>
  <c r="T95" i="24"/>
  <c r="T94" i="24"/>
  <c r="T93" i="24"/>
  <c r="T92" i="24"/>
  <c r="T91" i="24"/>
  <c r="T90" i="24"/>
  <c r="T89" i="24"/>
  <c r="T88" i="24"/>
  <c r="T87" i="24"/>
  <c r="T86" i="24"/>
  <c r="T85" i="24"/>
  <c r="T84" i="24"/>
  <c r="T83" i="24"/>
  <c r="T82" i="24"/>
  <c r="T81" i="24"/>
  <c r="T80" i="24"/>
  <c r="T79" i="24"/>
  <c r="T78" i="24"/>
  <c r="T77" i="24"/>
  <c r="T76" i="24"/>
  <c r="T75" i="24"/>
  <c r="T74" i="24"/>
  <c r="T73" i="24"/>
  <c r="T72" i="24"/>
  <c r="T71" i="24"/>
  <c r="T70" i="24"/>
  <c r="T69" i="24"/>
  <c r="T68" i="24"/>
  <c r="T67" i="24"/>
  <c r="T66" i="24"/>
  <c r="T65" i="24"/>
  <c r="T64" i="24"/>
  <c r="T63" i="24"/>
  <c r="T62" i="24"/>
  <c r="T61" i="24"/>
  <c r="T60" i="24"/>
  <c r="T59" i="24"/>
  <c r="T58" i="24"/>
  <c r="T57" i="24"/>
  <c r="T56" i="24"/>
  <c r="T55" i="24"/>
  <c r="T54" i="24"/>
  <c r="T53" i="24"/>
  <c r="T52" i="24"/>
  <c r="T51" i="24"/>
  <c r="T50" i="24"/>
  <c r="T49" i="24"/>
  <c r="T48" i="24"/>
  <c r="T47" i="24"/>
  <c r="T46" i="24"/>
  <c r="T45" i="24"/>
  <c r="T44" i="24"/>
  <c r="T43" i="24"/>
  <c r="T42" i="24"/>
  <c r="T41" i="24"/>
  <c r="T40" i="24"/>
  <c r="T39" i="24"/>
  <c r="T38" i="24"/>
  <c r="T37" i="24"/>
  <c r="T36" i="24"/>
  <c r="T35" i="24"/>
  <c r="T34" i="24"/>
  <c r="T33" i="24"/>
  <c r="T32" i="24"/>
  <c r="T31" i="24"/>
  <c r="T30" i="24"/>
  <c r="T29" i="24"/>
  <c r="T28" i="24"/>
  <c r="T27" i="24"/>
  <c r="T26" i="24"/>
  <c r="T25" i="24"/>
  <c r="T24" i="24"/>
  <c r="T23" i="24"/>
  <c r="T22" i="24"/>
  <c r="T21" i="24"/>
  <c r="T20" i="24"/>
  <c r="T19" i="24"/>
  <c r="T18" i="24"/>
  <c r="T17" i="24"/>
  <c r="T16" i="24"/>
  <c r="T15" i="24"/>
  <c r="T14" i="24"/>
  <c r="T13" i="24"/>
  <c r="T12" i="24"/>
  <c r="T11" i="24"/>
  <c r="T10" i="24"/>
  <c r="T9" i="24"/>
  <c r="T8" i="24"/>
  <c r="T7" i="24"/>
  <c r="T6" i="24"/>
  <c r="T5" i="24"/>
  <c r="T4" i="24"/>
  <c r="P12" i="24"/>
  <c r="P11" i="24"/>
  <c r="P10" i="24"/>
  <c r="P9" i="24"/>
  <c r="P8" i="24"/>
  <c r="P7" i="24"/>
  <c r="P6" i="24"/>
  <c r="P5" i="24"/>
  <c r="P4" i="24"/>
  <c r="P3" i="24"/>
  <c r="P2" i="24"/>
  <c r="B16" i="24"/>
  <c r="B4" i="27"/>
  <c r="B9" i="27"/>
  <c r="B6" i="27"/>
  <c r="B5" i="27"/>
  <c r="B2" i="27"/>
  <c r="B3" i="27"/>
  <c r="J1" i="27" l="1"/>
  <c r="I1" i="27"/>
  <c r="H1" i="27"/>
  <c r="G1" i="27"/>
  <c r="F1" i="27"/>
  <c r="E1" i="27"/>
  <c r="D1" i="27"/>
  <c r="C1" i="27"/>
  <c r="B1" i="27"/>
  <c r="A9" i="27"/>
  <c r="A8" i="27"/>
  <c r="A7" i="27"/>
  <c r="A6" i="27"/>
  <c r="A5" i="27"/>
  <c r="A4" i="27"/>
  <c r="A3" i="27"/>
  <c r="A2" i="27"/>
  <c r="B16" i="30" l="1"/>
  <c r="P3" i="30" s="1"/>
  <c r="Q3" i="30" s="1"/>
  <c r="S4" i="30"/>
  <c r="S5" i="30" s="1"/>
  <c r="S6" i="30" s="1"/>
  <c r="S7" i="30" s="1"/>
  <c r="S8" i="30" s="1"/>
  <c r="S9" i="30" s="1"/>
  <c r="S10" i="30" s="1"/>
  <c r="S11" i="30" s="1"/>
  <c r="S12" i="30" s="1"/>
  <c r="S13" i="30" s="1"/>
  <c r="S14" i="30" s="1"/>
  <c r="P2" i="30" l="1"/>
  <c r="Q2" i="30" s="1"/>
  <c r="P4" i="30"/>
  <c r="Q4" i="30" s="1"/>
  <c r="P6" i="30"/>
  <c r="Q6" i="30" s="1"/>
  <c r="P8" i="30"/>
  <c r="Q8" i="30" s="1"/>
  <c r="P5" i="30"/>
  <c r="Q5" i="30" s="1"/>
  <c r="P9" i="30"/>
  <c r="Q9" i="30" s="1"/>
  <c r="P10" i="30"/>
  <c r="Q10" i="30" s="1"/>
  <c r="P12" i="30"/>
  <c r="Q12" i="30" s="1"/>
  <c r="T6" i="30"/>
  <c r="T4" i="30"/>
  <c r="T12" i="30"/>
  <c r="T10" i="30"/>
  <c r="T7" i="30"/>
  <c r="T8" i="30"/>
  <c r="T11" i="30"/>
  <c r="S15" i="30"/>
  <c r="T14" i="30"/>
  <c r="T13" i="30"/>
  <c r="T5" i="30"/>
  <c r="P7" i="30"/>
  <c r="Q7" i="30" s="1"/>
  <c r="T9" i="30"/>
  <c r="P11" i="30"/>
  <c r="Q11" i="30" s="1"/>
  <c r="T105" i="29"/>
  <c r="T104" i="29"/>
  <c r="T103" i="29"/>
  <c r="T102" i="29"/>
  <c r="T101" i="29"/>
  <c r="T100" i="29"/>
  <c r="T99" i="29"/>
  <c r="T98" i="29"/>
  <c r="T97" i="29"/>
  <c r="T96" i="29"/>
  <c r="T95" i="29"/>
  <c r="T94" i="29"/>
  <c r="T93" i="29"/>
  <c r="T92" i="29"/>
  <c r="T91" i="29"/>
  <c r="T90" i="29"/>
  <c r="T89" i="29"/>
  <c r="T88" i="29"/>
  <c r="T87" i="29"/>
  <c r="T86" i="29"/>
  <c r="T85" i="29"/>
  <c r="T84" i="29"/>
  <c r="T83" i="29"/>
  <c r="T82" i="29"/>
  <c r="T81" i="29"/>
  <c r="T80" i="29"/>
  <c r="T79" i="29"/>
  <c r="T78" i="29"/>
  <c r="T77" i="29"/>
  <c r="T76" i="29"/>
  <c r="T75" i="29"/>
  <c r="T74" i="29"/>
  <c r="T73" i="29"/>
  <c r="T72" i="29"/>
  <c r="T71" i="29"/>
  <c r="T70" i="29"/>
  <c r="T69" i="29"/>
  <c r="T68" i="29"/>
  <c r="T67" i="29"/>
  <c r="T66" i="29"/>
  <c r="T65" i="29"/>
  <c r="T64" i="29"/>
  <c r="T63" i="29"/>
  <c r="T62" i="29"/>
  <c r="T61" i="29"/>
  <c r="T60" i="29"/>
  <c r="T59" i="29"/>
  <c r="T58" i="29"/>
  <c r="T57" i="29"/>
  <c r="T56" i="29"/>
  <c r="T55" i="29"/>
  <c r="T4" i="29"/>
  <c r="B16" i="29"/>
  <c r="T53" i="29" s="1"/>
  <c r="Q14" i="30" l="1"/>
  <c r="T15" i="30"/>
  <c r="S16" i="30"/>
  <c r="P8" i="29"/>
  <c r="T14" i="29"/>
  <c r="T30" i="29"/>
  <c r="T46" i="29"/>
  <c r="P3" i="29"/>
  <c r="T7" i="29"/>
  <c r="T23" i="29"/>
  <c r="T39" i="29"/>
  <c r="P4" i="29"/>
  <c r="P12" i="29"/>
  <c r="T10" i="29"/>
  <c r="T18" i="29"/>
  <c r="T26" i="29"/>
  <c r="T34" i="29"/>
  <c r="T42" i="29"/>
  <c r="T50" i="29"/>
  <c r="T6" i="29"/>
  <c r="T22" i="29"/>
  <c r="T38" i="29"/>
  <c r="T54" i="29"/>
  <c r="P11" i="29"/>
  <c r="T15" i="29"/>
  <c r="T31" i="29"/>
  <c r="T47" i="29"/>
  <c r="P7" i="29"/>
  <c r="T11" i="29"/>
  <c r="T19" i="29"/>
  <c r="T27" i="29"/>
  <c r="T35" i="29"/>
  <c r="T43" i="29"/>
  <c r="T51" i="29"/>
  <c r="P5" i="29"/>
  <c r="P9" i="29"/>
  <c r="T8" i="29"/>
  <c r="T12" i="29"/>
  <c r="T16" i="29"/>
  <c r="T20" i="29"/>
  <c r="T24" i="29"/>
  <c r="T28" i="29"/>
  <c r="T32" i="29"/>
  <c r="T36" i="29"/>
  <c r="T40" i="29"/>
  <c r="T44" i="29"/>
  <c r="T48" i="29"/>
  <c r="T52" i="29"/>
  <c r="P2" i="29"/>
  <c r="P6" i="29"/>
  <c r="P10" i="29"/>
  <c r="T5" i="29"/>
  <c r="T9" i="29"/>
  <c r="T13" i="29"/>
  <c r="T17" i="29"/>
  <c r="T21" i="29"/>
  <c r="T25" i="29"/>
  <c r="T29" i="29"/>
  <c r="T33" i="29"/>
  <c r="T37" i="29"/>
  <c r="T41" i="29"/>
  <c r="T45" i="29"/>
  <c r="T49" i="29"/>
  <c r="S17" i="30" l="1"/>
  <c r="T16" i="30"/>
  <c r="S4" i="29"/>
  <c r="S18" i="30" l="1"/>
  <c r="T17" i="30"/>
  <c r="Q10" i="29"/>
  <c r="Q6" i="29"/>
  <c r="Q2" i="29"/>
  <c r="Q11" i="29"/>
  <c r="Q7" i="29"/>
  <c r="Q12" i="29"/>
  <c r="Q5" i="29"/>
  <c r="Q8" i="29"/>
  <c r="S5" i="29"/>
  <c r="Q9" i="29"/>
  <c r="Q3" i="29"/>
  <c r="Q4" i="29"/>
  <c r="S19" i="30" l="1"/>
  <c r="T18" i="30"/>
  <c r="Q14" i="29"/>
  <c r="S6" i="29"/>
  <c r="A17" i="27"/>
  <c r="A16" i="27"/>
  <c r="A15" i="27"/>
  <c r="D9" i="25"/>
  <c r="D8" i="25"/>
  <c r="D7" i="25"/>
  <c r="D6" i="25"/>
  <c r="D5" i="25"/>
  <c r="D4" i="25"/>
  <c r="D3" i="25"/>
  <c r="D2" i="25"/>
  <c r="A11" i="24"/>
  <c r="A10" i="24"/>
  <c r="A9" i="24"/>
  <c r="A8" i="24"/>
  <c r="A7" i="24"/>
  <c r="A6" i="24"/>
  <c r="A5" i="24"/>
  <c r="A4" i="24"/>
  <c r="A3" i="24"/>
  <c r="A11" i="19"/>
  <c r="A10" i="19"/>
  <c r="A9" i="19"/>
  <c r="A8" i="19"/>
  <c r="A7" i="19"/>
  <c r="A6" i="19"/>
  <c r="A5" i="19"/>
  <c r="A4" i="19"/>
  <c r="A3" i="19"/>
  <c r="B8" i="14"/>
  <c r="B16" i="15"/>
  <c r="S4" i="15"/>
  <c r="T4" i="15" s="1"/>
  <c r="J8" i="27" l="1"/>
  <c r="F8" i="27"/>
  <c r="I8" i="27"/>
  <c r="E8" i="27"/>
  <c r="H8" i="27"/>
  <c r="D8" i="27"/>
  <c r="G8" i="27"/>
  <c r="C8" i="27"/>
  <c r="B8" i="27"/>
  <c r="J7" i="27"/>
  <c r="E7" i="27"/>
  <c r="H7" i="27"/>
  <c r="G7" i="27"/>
  <c r="C7" i="27"/>
  <c r="F7" i="27"/>
  <c r="B7" i="27"/>
  <c r="I7" i="27"/>
  <c r="D7" i="27"/>
  <c r="S20" i="30"/>
  <c r="T19" i="30"/>
  <c r="S7" i="29"/>
  <c r="P11" i="15"/>
  <c r="Q11" i="15" s="1"/>
  <c r="P7" i="15"/>
  <c r="Q7" i="15" s="1"/>
  <c r="P3" i="15"/>
  <c r="Q3" i="15" s="1"/>
  <c r="P6" i="15"/>
  <c r="Q6" i="15" s="1"/>
  <c r="P9" i="15"/>
  <c r="Q9" i="15" s="1"/>
  <c r="P12" i="15"/>
  <c r="Q12" i="15" s="1"/>
  <c r="P8" i="15"/>
  <c r="P4" i="15"/>
  <c r="Q4" i="15" s="1"/>
  <c r="P10" i="15"/>
  <c r="Q10" i="15" s="1"/>
  <c r="P2" i="15"/>
  <c r="Q2" i="15" s="1"/>
  <c r="P5" i="15"/>
  <c r="Q5" i="15" s="1"/>
  <c r="P3" i="14"/>
  <c r="P4" i="14"/>
  <c r="T5" i="14"/>
  <c r="P2" i="14"/>
  <c r="S4" i="24"/>
  <c r="B16" i="19"/>
  <c r="P6" i="19" s="1"/>
  <c r="S4" i="19"/>
  <c r="Q8" i="15"/>
  <c r="S5" i="15"/>
  <c r="T5" i="15" s="1"/>
  <c r="S21" i="30" l="1"/>
  <c r="T20" i="30"/>
  <c r="S8" i="29"/>
  <c r="P9" i="19"/>
  <c r="P2" i="19"/>
  <c r="P5" i="19"/>
  <c r="Q5" i="19" s="1"/>
  <c r="P3" i="19"/>
  <c r="Q3" i="19" s="1"/>
  <c r="P7" i="19"/>
  <c r="P10" i="19"/>
  <c r="Q10" i="19" s="1"/>
  <c r="P4" i="19"/>
  <c r="P11" i="19"/>
  <c r="Q11" i="19" s="1"/>
  <c r="P8" i="19"/>
  <c r="Q8" i="19" s="1"/>
  <c r="P12" i="19"/>
  <c r="Q12" i="19" s="1"/>
  <c r="Q8" i="24"/>
  <c r="Q3" i="24"/>
  <c r="Q7" i="24"/>
  <c r="Q2" i="24"/>
  <c r="Q10" i="24"/>
  <c r="Q5" i="24"/>
  <c r="Q4" i="24"/>
  <c r="E11" i="27"/>
  <c r="J11" i="27"/>
  <c r="I11" i="27"/>
  <c r="F11" i="27"/>
  <c r="B11" i="27"/>
  <c r="C11" i="27"/>
  <c r="Q12" i="24"/>
  <c r="Q9" i="24"/>
  <c r="Q11" i="24"/>
  <c r="S5" i="24"/>
  <c r="Q6" i="24"/>
  <c r="Q2" i="19"/>
  <c r="Q4" i="19"/>
  <c r="S5" i="19"/>
  <c r="T4" i="19"/>
  <c r="Q6" i="19"/>
  <c r="Q7" i="19"/>
  <c r="Q9" i="19"/>
  <c r="Q14" i="15"/>
  <c r="S6" i="15"/>
  <c r="T6" i="15" s="1"/>
  <c r="T21" i="30" l="1"/>
  <c r="S22" i="30"/>
  <c r="S9" i="29"/>
  <c r="H11" i="27"/>
  <c r="G11" i="27"/>
  <c r="S6" i="24"/>
  <c r="Q14" i="24"/>
  <c r="S6" i="19"/>
  <c r="T5" i="19"/>
  <c r="Q14" i="19"/>
  <c r="S7" i="15"/>
  <c r="T7" i="15" s="1"/>
  <c r="S23" i="30" l="1"/>
  <c r="T22" i="30"/>
  <c r="S10" i="29"/>
  <c r="S7" i="24"/>
  <c r="T6" i="19"/>
  <c r="S7" i="19"/>
  <c r="S8" i="15"/>
  <c r="T8" i="15" s="1"/>
  <c r="S24" i="30" l="1"/>
  <c r="T23" i="30"/>
  <c r="S11" i="29"/>
  <c r="S8" i="24"/>
  <c r="S8" i="19"/>
  <c r="T7" i="19"/>
  <c r="S9" i="15"/>
  <c r="T9" i="15" s="1"/>
  <c r="S25" i="30" l="1"/>
  <c r="T24" i="30"/>
  <c r="S12" i="29"/>
  <c r="S9" i="24"/>
  <c r="S9" i="19"/>
  <c r="T8" i="19"/>
  <c r="S10" i="15"/>
  <c r="T10" i="15" s="1"/>
  <c r="S26" i="30" l="1"/>
  <c r="T25" i="30"/>
  <c r="S13" i="29"/>
  <c r="S10" i="24"/>
  <c r="T9" i="19"/>
  <c r="S10" i="19"/>
  <c r="S11" i="15"/>
  <c r="T11" i="15" s="1"/>
  <c r="S27" i="30" l="1"/>
  <c r="T26" i="30"/>
  <c r="S14" i="29"/>
  <c r="S11" i="24"/>
  <c r="S11" i="19"/>
  <c r="T10" i="19"/>
  <c r="S12" i="15"/>
  <c r="T12" i="15" s="1"/>
  <c r="S28" i="30" l="1"/>
  <c r="T27" i="30"/>
  <c r="S15" i="29"/>
  <c r="S12" i="24"/>
  <c r="T11" i="19"/>
  <c r="S12" i="19"/>
  <c r="S13" i="15"/>
  <c r="T13" i="15" s="1"/>
  <c r="S29" i="30" l="1"/>
  <c r="T28" i="30"/>
  <c r="S16" i="29"/>
  <c r="S13" i="24"/>
  <c r="T12" i="19"/>
  <c r="S13" i="19"/>
  <c r="S14" i="15"/>
  <c r="T14" i="15" s="1"/>
  <c r="T29" i="30" l="1"/>
  <c r="S30" i="30"/>
  <c r="S17" i="29"/>
  <c r="S14" i="24"/>
  <c r="S14" i="19"/>
  <c r="T13" i="19"/>
  <c r="S15" i="15"/>
  <c r="T15" i="15" s="1"/>
  <c r="S31" i="30" l="1"/>
  <c r="T30" i="30"/>
  <c r="S18" i="29"/>
  <c r="S15" i="24"/>
  <c r="T14" i="19"/>
  <c r="S15" i="19"/>
  <c r="S16" i="15"/>
  <c r="T16" i="15" s="1"/>
  <c r="S32" i="30" l="1"/>
  <c r="T31" i="30"/>
  <c r="S19" i="29"/>
  <c r="S16" i="24"/>
  <c r="S16" i="19"/>
  <c r="T15" i="19"/>
  <c r="S17" i="15"/>
  <c r="T17" i="15" s="1"/>
  <c r="S33" i="30" l="1"/>
  <c r="T32" i="30"/>
  <c r="S20" i="29"/>
  <c r="S17" i="24"/>
  <c r="S17" i="19"/>
  <c r="T16" i="19"/>
  <c r="S18" i="15"/>
  <c r="T18" i="15" s="1"/>
  <c r="S34" i="30" l="1"/>
  <c r="T33" i="30"/>
  <c r="S21" i="29"/>
  <c r="S18" i="24"/>
  <c r="T17" i="19"/>
  <c r="S18" i="19"/>
  <c r="S19" i="15"/>
  <c r="T19" i="15" s="1"/>
  <c r="S35" i="30" l="1"/>
  <c r="T34" i="30"/>
  <c r="S22" i="29"/>
  <c r="S19" i="24"/>
  <c r="S19" i="19"/>
  <c r="T18" i="19"/>
  <c r="S20" i="15"/>
  <c r="T20" i="15" s="1"/>
  <c r="S36" i="30" l="1"/>
  <c r="T35" i="30"/>
  <c r="S23" i="29"/>
  <c r="S20" i="24"/>
  <c r="T19" i="19"/>
  <c r="S20" i="19"/>
  <c r="S21" i="15"/>
  <c r="T21" i="15" s="1"/>
  <c r="S37" i="30" l="1"/>
  <c r="T36" i="30"/>
  <c r="S24" i="29"/>
  <c r="S21" i="24"/>
  <c r="S21" i="19"/>
  <c r="T20" i="19"/>
  <c r="S22" i="15"/>
  <c r="T22" i="15" s="1"/>
  <c r="T37" i="30" l="1"/>
  <c r="S38" i="30"/>
  <c r="S25" i="29"/>
  <c r="S22" i="24"/>
  <c r="T21" i="19"/>
  <c r="S22" i="19"/>
  <c r="S23" i="15"/>
  <c r="T23" i="15" s="1"/>
  <c r="S39" i="30" l="1"/>
  <c r="T38" i="30"/>
  <c r="S26" i="29"/>
  <c r="S23" i="24"/>
  <c r="S23" i="19"/>
  <c r="T22" i="19"/>
  <c r="S24" i="15"/>
  <c r="T24" i="15" s="1"/>
  <c r="S40" i="30" l="1"/>
  <c r="T39" i="30"/>
  <c r="S27" i="29"/>
  <c r="S24" i="24"/>
  <c r="T23" i="19"/>
  <c r="S24" i="19"/>
  <c r="S25" i="15"/>
  <c r="T25" i="15" s="1"/>
  <c r="S41" i="30" l="1"/>
  <c r="T40" i="30"/>
  <c r="S28" i="29"/>
  <c r="S25" i="24"/>
  <c r="S25" i="19"/>
  <c r="T24" i="19"/>
  <c r="S26" i="15"/>
  <c r="T26" i="15" s="1"/>
  <c r="S42" i="30" l="1"/>
  <c r="T41" i="30"/>
  <c r="S29" i="29"/>
  <c r="S26" i="24"/>
  <c r="T25" i="19"/>
  <c r="S26" i="19"/>
  <c r="S27" i="15"/>
  <c r="T27" i="15" s="1"/>
  <c r="S43" i="30" l="1"/>
  <c r="T42" i="30"/>
  <c r="S30" i="29"/>
  <c r="S27" i="24"/>
  <c r="S27" i="19"/>
  <c r="T26" i="19"/>
  <c r="S28" i="15"/>
  <c r="T28" i="15" s="1"/>
  <c r="S44" i="30" l="1"/>
  <c r="T43" i="30"/>
  <c r="S31" i="29"/>
  <c r="S28" i="24"/>
  <c r="T27" i="19"/>
  <c r="S28" i="19"/>
  <c r="S29" i="15"/>
  <c r="T29" i="15" s="1"/>
  <c r="S45" i="30" l="1"/>
  <c r="T44" i="30"/>
  <c r="S32" i="29"/>
  <c r="S29" i="24"/>
  <c r="S29" i="19"/>
  <c r="T28" i="19"/>
  <c r="S30" i="15"/>
  <c r="T30" i="15" s="1"/>
  <c r="T45" i="30" l="1"/>
  <c r="S46" i="30"/>
  <c r="S33" i="29"/>
  <c r="S30" i="24"/>
  <c r="T29" i="19"/>
  <c r="S30" i="19"/>
  <c r="S31" i="15"/>
  <c r="T31" i="15" s="1"/>
  <c r="S47" i="30" l="1"/>
  <c r="T46" i="30"/>
  <c r="S34" i="29"/>
  <c r="S31" i="24"/>
  <c r="S31" i="19"/>
  <c r="T30" i="19"/>
  <c r="S32" i="15"/>
  <c r="T32" i="15" s="1"/>
  <c r="S48" i="30" l="1"/>
  <c r="T47" i="30"/>
  <c r="S35" i="29"/>
  <c r="S32" i="24"/>
  <c r="T31" i="19"/>
  <c r="S32" i="19"/>
  <c r="S33" i="15"/>
  <c r="T33" i="15" s="1"/>
  <c r="S49" i="30" l="1"/>
  <c r="T48" i="30"/>
  <c r="S36" i="29"/>
  <c r="S33" i="24"/>
  <c r="S33" i="19"/>
  <c r="T32" i="19"/>
  <c r="S34" i="15"/>
  <c r="T34" i="15" s="1"/>
  <c r="S50" i="30" l="1"/>
  <c r="T49" i="30"/>
  <c r="S37" i="29"/>
  <c r="S34" i="24"/>
  <c r="T33" i="19"/>
  <c r="S34" i="19"/>
  <c r="S35" i="15"/>
  <c r="T35" i="15" s="1"/>
  <c r="S51" i="30" l="1"/>
  <c r="T50" i="30"/>
  <c r="S38" i="29"/>
  <c r="S35" i="24"/>
  <c r="S35" i="19"/>
  <c r="T34" i="19"/>
  <c r="S36" i="15"/>
  <c r="T36" i="15" s="1"/>
  <c r="S52" i="30" l="1"/>
  <c r="T51" i="30"/>
  <c r="S39" i="29"/>
  <c r="S36" i="24"/>
  <c r="T35" i="19"/>
  <c r="S36" i="19"/>
  <c r="S37" i="15"/>
  <c r="T37" i="15" s="1"/>
  <c r="S53" i="30" l="1"/>
  <c r="T52" i="30"/>
  <c r="S40" i="29"/>
  <c r="S37" i="24"/>
  <c r="S37" i="19"/>
  <c r="T36" i="19"/>
  <c r="S38" i="15"/>
  <c r="T38" i="15" s="1"/>
  <c r="S54" i="30" l="1"/>
  <c r="T53" i="30"/>
  <c r="S41" i="29"/>
  <c r="S38" i="24"/>
  <c r="T37" i="19"/>
  <c r="S38" i="19"/>
  <c r="S39" i="15"/>
  <c r="T39" i="15" s="1"/>
  <c r="S55" i="30" l="1"/>
  <c r="T54" i="30"/>
  <c r="S42" i="29"/>
  <c r="S39" i="24"/>
  <c r="S39" i="19"/>
  <c r="T38" i="19"/>
  <c r="S40" i="15"/>
  <c r="T40" i="15" s="1"/>
  <c r="S56" i="30" l="1"/>
  <c r="T55" i="30"/>
  <c r="S43" i="29"/>
  <c r="S40" i="24"/>
  <c r="T39" i="19"/>
  <c r="S40" i="19"/>
  <c r="S41" i="15"/>
  <c r="T41" i="15" s="1"/>
  <c r="S57" i="30" l="1"/>
  <c r="T56" i="30"/>
  <c r="S44" i="29"/>
  <c r="S41" i="24"/>
  <c r="S41" i="19"/>
  <c r="T40" i="19"/>
  <c r="S42" i="15"/>
  <c r="T42" i="15" s="1"/>
  <c r="S58" i="30" l="1"/>
  <c r="T57" i="30"/>
  <c r="S45" i="29"/>
  <c r="S42" i="24"/>
  <c r="T41" i="19"/>
  <c r="S42" i="19"/>
  <c r="S43" i="15"/>
  <c r="T43" i="15" s="1"/>
  <c r="S59" i="30" l="1"/>
  <c r="T58" i="30"/>
  <c r="S46" i="29"/>
  <c r="S43" i="24"/>
  <c r="S43" i="19"/>
  <c r="T42" i="19"/>
  <c r="S44" i="15"/>
  <c r="T44" i="15" s="1"/>
  <c r="S60" i="30" l="1"/>
  <c r="T59" i="30"/>
  <c r="S47" i="29"/>
  <c r="S44" i="24"/>
  <c r="T43" i="19"/>
  <c r="S44" i="19"/>
  <c r="S45" i="15"/>
  <c r="T45" i="15" s="1"/>
  <c r="S61" i="30" l="1"/>
  <c r="T60" i="30"/>
  <c r="S48" i="29"/>
  <c r="S45" i="24"/>
  <c r="S45" i="19"/>
  <c r="T44" i="19"/>
  <c r="S46" i="15"/>
  <c r="T46" i="15" s="1"/>
  <c r="S62" i="30" l="1"/>
  <c r="T61" i="30"/>
  <c r="S49" i="29"/>
  <c r="S46" i="24"/>
  <c r="T45" i="19"/>
  <c r="S46" i="19"/>
  <c r="S47" i="15"/>
  <c r="T47" i="15" s="1"/>
  <c r="S63" i="30" l="1"/>
  <c r="T62" i="30"/>
  <c r="S50" i="29"/>
  <c r="S47" i="24"/>
  <c r="S47" i="19"/>
  <c r="T46" i="19"/>
  <c r="S48" i="15"/>
  <c r="T48" i="15" s="1"/>
  <c r="S64" i="30" l="1"/>
  <c r="T63" i="30"/>
  <c r="S51" i="29"/>
  <c r="S48" i="24"/>
  <c r="T47" i="19"/>
  <c r="S48" i="19"/>
  <c r="S49" i="15"/>
  <c r="T49" i="15" s="1"/>
  <c r="S65" i="30" l="1"/>
  <c r="T64" i="30"/>
  <c r="S52" i="29"/>
  <c r="S49" i="24"/>
  <c r="S49" i="19"/>
  <c r="T48" i="19"/>
  <c r="S50" i="15"/>
  <c r="T50" i="15" s="1"/>
  <c r="S66" i="30" l="1"/>
  <c r="T65" i="30"/>
  <c r="S53" i="29"/>
  <c r="S50" i="24"/>
  <c r="T49" i="19"/>
  <c r="S50" i="19"/>
  <c r="S51" i="15"/>
  <c r="T51" i="15" s="1"/>
  <c r="S67" i="30" l="1"/>
  <c r="T66" i="30"/>
  <c r="S54" i="29"/>
  <c r="S51" i="24"/>
  <c r="S51" i="19"/>
  <c r="T50" i="19"/>
  <c r="S52" i="15"/>
  <c r="T52" i="15" s="1"/>
  <c r="S68" i="30" l="1"/>
  <c r="T67" i="30"/>
  <c r="S55" i="29"/>
  <c r="S52" i="24"/>
  <c r="T51" i="19"/>
  <c r="S52" i="19"/>
  <c r="S53" i="15"/>
  <c r="T53" i="15" s="1"/>
  <c r="S69" i="30" l="1"/>
  <c r="T68" i="30"/>
  <c r="S56" i="29"/>
  <c r="S53" i="24"/>
  <c r="S53" i="19"/>
  <c r="T52" i="19"/>
  <c r="S54" i="15"/>
  <c r="T54" i="15" s="1"/>
  <c r="S70" i="30" l="1"/>
  <c r="T69" i="30"/>
  <c r="S57" i="29"/>
  <c r="S54" i="24"/>
  <c r="T53" i="19"/>
  <c r="S54" i="19"/>
  <c r="S55" i="15"/>
  <c r="T55" i="15" s="1"/>
  <c r="S71" i="30" l="1"/>
  <c r="T70" i="30"/>
  <c r="S58" i="29"/>
  <c r="S55" i="24"/>
  <c r="S55" i="19"/>
  <c r="T54" i="19"/>
  <c r="S56" i="15"/>
  <c r="T56" i="15" s="1"/>
  <c r="S72" i="30" l="1"/>
  <c r="T71" i="30"/>
  <c r="S59" i="29"/>
  <c r="S56" i="24"/>
  <c r="T55" i="19"/>
  <c r="S56" i="19"/>
  <c r="S57" i="15"/>
  <c r="T57" i="15" s="1"/>
  <c r="S73" i="30" l="1"/>
  <c r="T72" i="30"/>
  <c r="S60" i="29"/>
  <c r="S57" i="24"/>
  <c r="S57" i="19"/>
  <c r="T56" i="19"/>
  <c r="S58" i="15"/>
  <c r="T58" i="15" s="1"/>
  <c r="S74" i="30" l="1"/>
  <c r="T73" i="30"/>
  <c r="S61" i="29"/>
  <c r="S58" i="24"/>
  <c r="T57" i="19"/>
  <c r="S58" i="19"/>
  <c r="S59" i="15"/>
  <c r="T59" i="15" s="1"/>
  <c r="S75" i="30" l="1"/>
  <c r="T74" i="30"/>
  <c r="S62" i="29"/>
  <c r="S59" i="24"/>
  <c r="S59" i="19"/>
  <c r="T58" i="19"/>
  <c r="S60" i="15"/>
  <c r="T60" i="15" s="1"/>
  <c r="S76" i="30" l="1"/>
  <c r="T75" i="30"/>
  <c r="S63" i="29"/>
  <c r="S60" i="24"/>
  <c r="T59" i="19"/>
  <c r="S60" i="19"/>
  <c r="S61" i="15"/>
  <c r="T61" i="15" s="1"/>
  <c r="S77" i="30" l="1"/>
  <c r="T76" i="30"/>
  <c r="S64" i="29"/>
  <c r="S61" i="24"/>
  <c r="S61" i="19"/>
  <c r="T60" i="19"/>
  <c r="S62" i="15"/>
  <c r="T62" i="15" s="1"/>
  <c r="S78" i="30" l="1"/>
  <c r="T77" i="30"/>
  <c r="S65" i="29"/>
  <c r="S62" i="24"/>
  <c r="T61" i="19"/>
  <c r="S62" i="19"/>
  <c r="S63" i="15"/>
  <c r="T63" i="15" s="1"/>
  <c r="S79" i="30" l="1"/>
  <c r="T78" i="30"/>
  <c r="S66" i="29"/>
  <c r="S63" i="24"/>
  <c r="S63" i="19"/>
  <c r="T62" i="19"/>
  <c r="S64" i="15"/>
  <c r="T64" i="15" s="1"/>
  <c r="S80" i="30" l="1"/>
  <c r="T79" i="30"/>
  <c r="S67" i="29"/>
  <c r="S64" i="24"/>
  <c r="T63" i="19"/>
  <c r="S64" i="19"/>
  <c r="S65" i="15"/>
  <c r="T65" i="15" s="1"/>
  <c r="S81" i="30" l="1"/>
  <c r="T80" i="30"/>
  <c r="S68" i="29"/>
  <c r="S65" i="24"/>
  <c r="S65" i="19"/>
  <c r="T64" i="19"/>
  <c r="S66" i="15"/>
  <c r="T66" i="15" s="1"/>
  <c r="S82" i="30" l="1"/>
  <c r="T81" i="30"/>
  <c r="S69" i="29"/>
  <c r="S66" i="24"/>
  <c r="T65" i="19"/>
  <c r="S66" i="19"/>
  <c r="S67" i="15"/>
  <c r="T67" i="15" s="1"/>
  <c r="S83" i="30" l="1"/>
  <c r="T82" i="30"/>
  <c r="S70" i="29"/>
  <c r="S67" i="24"/>
  <c r="S67" i="19"/>
  <c r="T66" i="19"/>
  <c r="S68" i="15"/>
  <c r="T68" i="15" s="1"/>
  <c r="S84" i="30" l="1"/>
  <c r="T83" i="30"/>
  <c r="S71" i="29"/>
  <c r="S68" i="24"/>
  <c r="T67" i="19"/>
  <c r="S68" i="19"/>
  <c r="S69" i="15"/>
  <c r="T69" i="15" s="1"/>
  <c r="S85" i="30" l="1"/>
  <c r="T84" i="30"/>
  <c r="S72" i="29"/>
  <c r="S69" i="24"/>
  <c r="S69" i="19"/>
  <c r="T68" i="19"/>
  <c r="S70" i="15"/>
  <c r="T70" i="15" s="1"/>
  <c r="S4" i="14"/>
  <c r="Q4" i="14"/>
  <c r="S86" i="30" l="1"/>
  <c r="T85" i="30"/>
  <c r="S73" i="29"/>
  <c r="S5" i="14"/>
  <c r="T4" i="14"/>
  <c r="S70" i="24"/>
  <c r="T69" i="19"/>
  <c r="S70" i="19"/>
  <c r="S71" i="15"/>
  <c r="T71" i="15" s="1"/>
  <c r="Q3" i="14"/>
  <c r="Q2" i="14"/>
  <c r="S87" i="30" l="1"/>
  <c r="T86" i="30"/>
  <c r="S74" i="29"/>
  <c r="S6" i="14"/>
  <c r="S71" i="24"/>
  <c r="S71" i="19"/>
  <c r="T70" i="19"/>
  <c r="S72" i="15"/>
  <c r="T72" i="15" s="1"/>
  <c r="Q6" i="14"/>
  <c r="S88" i="30" l="1"/>
  <c r="T87" i="30"/>
  <c r="S75" i="29"/>
  <c r="S7" i="14"/>
  <c r="T6" i="14"/>
  <c r="S72" i="24"/>
  <c r="T71" i="19"/>
  <c r="S72" i="19"/>
  <c r="S73" i="15"/>
  <c r="T73" i="15" s="1"/>
  <c r="S89" i="30" l="1"/>
  <c r="T88" i="30"/>
  <c r="S76" i="29"/>
  <c r="S8" i="14"/>
  <c r="T7" i="14"/>
  <c r="S73" i="24"/>
  <c r="S73" i="19"/>
  <c r="T72" i="19"/>
  <c r="S74" i="15"/>
  <c r="T74" i="15" s="1"/>
  <c r="S90" i="30" l="1"/>
  <c r="T89" i="30"/>
  <c r="S77" i="29"/>
  <c r="S9" i="14"/>
  <c r="T8" i="14"/>
  <c r="S74" i="24"/>
  <c r="T73" i="19"/>
  <c r="S74" i="19"/>
  <c r="S75" i="15"/>
  <c r="T75" i="15" s="1"/>
  <c r="S91" i="30" l="1"/>
  <c r="T90" i="30"/>
  <c r="S78" i="29"/>
  <c r="S10" i="14"/>
  <c r="T9" i="14"/>
  <c r="S75" i="24"/>
  <c r="S75" i="19"/>
  <c r="T74" i="19"/>
  <c r="S76" i="15"/>
  <c r="T76" i="15" s="1"/>
  <c r="S92" i="30" l="1"/>
  <c r="T91" i="30"/>
  <c r="S79" i="29"/>
  <c r="S11" i="14"/>
  <c r="T10" i="14"/>
  <c r="S76" i="24"/>
  <c r="T75" i="19"/>
  <c r="S76" i="19"/>
  <c r="S77" i="15"/>
  <c r="T77" i="15" s="1"/>
  <c r="S93" i="30" l="1"/>
  <c r="T92" i="30"/>
  <c r="S80" i="29"/>
  <c r="S12" i="14"/>
  <c r="T11" i="14"/>
  <c r="S77" i="24"/>
  <c r="S77" i="19"/>
  <c r="T76" i="19"/>
  <c r="S78" i="15"/>
  <c r="T78" i="15" s="1"/>
  <c r="S94" i="30" l="1"/>
  <c r="T93" i="30"/>
  <c r="S81" i="29"/>
  <c r="S13" i="14"/>
  <c r="T12" i="14"/>
  <c r="S78" i="24"/>
  <c r="T77" i="19"/>
  <c r="S78" i="19"/>
  <c r="S79" i="15"/>
  <c r="T79" i="15" s="1"/>
  <c r="S95" i="30" l="1"/>
  <c r="T94" i="30"/>
  <c r="S82" i="29"/>
  <c r="S14" i="14"/>
  <c r="T13" i="14"/>
  <c r="S79" i="24"/>
  <c r="S79" i="19"/>
  <c r="T78" i="19"/>
  <c r="S80" i="15"/>
  <c r="T80" i="15" s="1"/>
  <c r="S96" i="30" l="1"/>
  <c r="T95" i="30"/>
  <c r="S83" i="29"/>
  <c r="S15" i="14"/>
  <c r="T14" i="14"/>
  <c r="S80" i="24"/>
  <c r="T79" i="19"/>
  <c r="S80" i="19"/>
  <c r="S81" i="15"/>
  <c r="T81" i="15" s="1"/>
  <c r="C9" i="2"/>
  <c r="C8" i="2"/>
  <c r="C11" i="2"/>
  <c r="E11" i="2"/>
  <c r="E3" i="2"/>
  <c r="S97" i="30" l="1"/>
  <c r="T96" i="30"/>
  <c r="S84" i="29"/>
  <c r="S16" i="14"/>
  <c r="T15" i="14"/>
  <c r="S81" i="24"/>
  <c r="S81" i="19"/>
  <c r="T80" i="19"/>
  <c r="S82" i="15"/>
  <c r="T82" i="15" s="1"/>
  <c r="D4" i="2"/>
  <c r="D3" i="2"/>
  <c r="S98" i="30" l="1"/>
  <c r="T97" i="30"/>
  <c r="S85" i="29"/>
  <c r="S17" i="14"/>
  <c r="T16" i="14"/>
  <c r="S82" i="24"/>
  <c r="T81" i="19"/>
  <c r="S82" i="19"/>
  <c r="S83" i="15"/>
  <c r="T83" i="15" s="1"/>
  <c r="J24" i="2"/>
  <c r="H24" i="2"/>
  <c r="F24" i="2"/>
  <c r="D24" i="2"/>
  <c r="B24" i="2"/>
  <c r="I16" i="2"/>
  <c r="G16" i="2"/>
  <c r="F16" i="2"/>
  <c r="B16" i="2"/>
  <c r="J11" i="2"/>
  <c r="I11" i="2"/>
  <c r="H11" i="2"/>
  <c r="G11" i="2"/>
  <c r="F11" i="2"/>
  <c r="D11" i="2"/>
  <c r="B11" i="2"/>
  <c r="G3" i="2"/>
  <c r="F3" i="2"/>
  <c r="D11" i="27"/>
  <c r="S99" i="30" l="1"/>
  <c r="T98" i="30"/>
  <c r="S86" i="29"/>
  <c r="S18" i="14"/>
  <c r="T17" i="14"/>
  <c r="S83" i="24"/>
  <c r="S83" i="19"/>
  <c r="T82" i="19"/>
  <c r="S84" i="15"/>
  <c r="T84" i="15" s="1"/>
  <c r="S100" i="30" l="1"/>
  <c r="T99" i="30"/>
  <c r="S87" i="29"/>
  <c r="S19" i="14"/>
  <c r="T18" i="14"/>
  <c r="S84" i="24"/>
  <c r="T83" i="19"/>
  <c r="S84" i="19"/>
  <c r="S85" i="15"/>
  <c r="T85" i="15" s="1"/>
  <c r="S101" i="30" l="1"/>
  <c r="T100" i="30"/>
  <c r="S88" i="29"/>
  <c r="S20" i="14"/>
  <c r="T19" i="14"/>
  <c r="S85" i="24"/>
  <c r="S85" i="19"/>
  <c r="T84" i="19"/>
  <c r="S86" i="15"/>
  <c r="T86" i="15" s="1"/>
  <c r="S102" i="30" l="1"/>
  <c r="T101" i="30"/>
  <c r="S89" i="29"/>
  <c r="S21" i="14"/>
  <c r="T20" i="14"/>
  <c r="S86" i="24"/>
  <c r="T85" i="19"/>
  <c r="S86" i="19"/>
  <c r="S87" i="15"/>
  <c r="T87" i="15" s="1"/>
  <c r="S103" i="30" l="1"/>
  <c r="T102" i="30"/>
  <c r="S90" i="29"/>
  <c r="S22" i="14"/>
  <c r="T21" i="14"/>
  <c r="S87" i="24"/>
  <c r="S87" i="19"/>
  <c r="T86" i="19"/>
  <c r="S88" i="15"/>
  <c r="T88" i="15" s="1"/>
  <c r="S104" i="30" l="1"/>
  <c r="T103" i="30"/>
  <c r="S91" i="29"/>
  <c r="S23" i="14"/>
  <c r="T22" i="14"/>
  <c r="S88" i="24"/>
  <c r="T87" i="19"/>
  <c r="S88" i="19"/>
  <c r="S89" i="15"/>
  <c r="T89" i="15" s="1"/>
  <c r="S105" i="30" l="1"/>
  <c r="T105" i="30" s="1"/>
  <c r="T104" i="30"/>
  <c r="S92" i="29"/>
  <c r="S24" i="14"/>
  <c r="T23" i="14"/>
  <c r="S89" i="24"/>
  <c r="S89" i="19"/>
  <c r="T88" i="19"/>
  <c r="S90" i="15"/>
  <c r="T90" i="15" s="1"/>
  <c r="S93" i="29" l="1"/>
  <c r="S25" i="14"/>
  <c r="T24" i="14"/>
  <c r="S90" i="24"/>
  <c r="T89" i="19"/>
  <c r="S90" i="19"/>
  <c r="S91" i="15"/>
  <c r="T91" i="15" s="1"/>
  <c r="S94" i="29" l="1"/>
  <c r="S26" i="14"/>
  <c r="T25" i="14"/>
  <c r="S91" i="24"/>
  <c r="S91" i="19"/>
  <c r="T90" i="19"/>
  <c r="S92" i="15"/>
  <c r="T92" i="15" s="1"/>
  <c r="S95" i="29" l="1"/>
  <c r="S27" i="14"/>
  <c r="T26" i="14"/>
  <c r="S92" i="24"/>
  <c r="T91" i="19"/>
  <c r="S92" i="19"/>
  <c r="S93" i="15"/>
  <c r="T93" i="15" s="1"/>
  <c r="S96" i="29" l="1"/>
  <c r="S28" i="14"/>
  <c r="T27" i="14"/>
  <c r="S93" i="24"/>
  <c r="S93" i="19"/>
  <c r="T92" i="19"/>
  <c r="S94" i="15"/>
  <c r="T94" i="15" s="1"/>
  <c r="S97" i="29" l="1"/>
  <c r="S29" i="14"/>
  <c r="T28" i="14"/>
  <c r="S94" i="24"/>
  <c r="T93" i="19"/>
  <c r="S94" i="19"/>
  <c r="S95" i="15"/>
  <c r="T95" i="15" s="1"/>
  <c r="S98" i="29" l="1"/>
  <c r="S30" i="14"/>
  <c r="T29" i="14"/>
  <c r="S95" i="24"/>
  <c r="S95" i="19"/>
  <c r="T94" i="19"/>
  <c r="S96" i="15"/>
  <c r="T96" i="15" s="1"/>
  <c r="S99" i="29" l="1"/>
  <c r="S31" i="14"/>
  <c r="T30" i="14"/>
  <c r="S96" i="24"/>
  <c r="T95" i="19"/>
  <c r="S96" i="19"/>
  <c r="S97" i="15"/>
  <c r="T97" i="15" s="1"/>
  <c r="S100" i="29" l="1"/>
  <c r="S32" i="14"/>
  <c r="T31" i="14"/>
  <c r="S97" i="24"/>
  <c r="S97" i="19"/>
  <c r="T96" i="19"/>
  <c r="S98" i="15"/>
  <c r="T98" i="15" s="1"/>
  <c r="S101" i="29" l="1"/>
  <c r="S33" i="14"/>
  <c r="T32" i="14"/>
  <c r="S98" i="24"/>
  <c r="T97" i="19"/>
  <c r="S98" i="19"/>
  <c r="S99" i="15"/>
  <c r="T99" i="15" s="1"/>
  <c r="S102" i="29" l="1"/>
  <c r="S34" i="14"/>
  <c r="T33" i="14"/>
  <c r="S99" i="24"/>
  <c r="S99" i="19"/>
  <c r="T98" i="19"/>
  <c r="S100" i="15"/>
  <c r="T100" i="15" s="1"/>
  <c r="S103" i="29" l="1"/>
  <c r="S35" i="14"/>
  <c r="T34" i="14"/>
  <c r="S100" i="24"/>
  <c r="T99" i="19"/>
  <c r="S100" i="19"/>
  <c r="S101" i="15"/>
  <c r="T101" i="15" s="1"/>
  <c r="S104" i="29" l="1"/>
  <c r="S36" i="14"/>
  <c r="T35" i="14"/>
  <c r="S101" i="24"/>
  <c r="S101" i="19"/>
  <c r="T100" i="19"/>
  <c r="S102" i="15"/>
  <c r="T102" i="15" s="1"/>
  <c r="S105" i="29" l="1"/>
  <c r="S37" i="14"/>
  <c r="T36" i="14"/>
  <c r="S102" i="24"/>
  <c r="T101" i="19"/>
  <c r="S102" i="19"/>
  <c r="S103" i="15"/>
  <c r="T103" i="15" s="1"/>
  <c r="S38" i="14" l="1"/>
  <c r="T37" i="14"/>
  <c r="S103" i="24"/>
  <c r="S103" i="19"/>
  <c r="T102" i="19"/>
  <c r="S104" i="15"/>
  <c r="T104" i="15" s="1"/>
  <c r="S39" i="14" l="1"/>
  <c r="T38" i="14"/>
  <c r="S104" i="24"/>
  <c r="T103" i="19"/>
  <c r="S104" i="19"/>
  <c r="S105" i="15"/>
  <c r="T105" i="15" s="1"/>
  <c r="S40" i="14" l="1"/>
  <c r="T39" i="14"/>
  <c r="S105" i="24"/>
  <c r="S105" i="19"/>
  <c r="T105" i="19" s="1"/>
  <c r="T104" i="19"/>
  <c r="S41" i="14" l="1"/>
  <c r="T40" i="14"/>
  <c r="S42" i="14" l="1"/>
  <c r="T41" i="14"/>
  <c r="S43" i="14" l="1"/>
  <c r="T42" i="14"/>
  <c r="S44" i="14" l="1"/>
  <c r="T43" i="14"/>
  <c r="S45" i="14" l="1"/>
  <c r="T44" i="14"/>
  <c r="S46" i="14" l="1"/>
  <c r="T45" i="14"/>
  <c r="S47" i="14" l="1"/>
  <c r="T46" i="14"/>
  <c r="S48" i="14" l="1"/>
  <c r="T47" i="14"/>
  <c r="S49" i="14" l="1"/>
  <c r="T48" i="14"/>
  <c r="S50" i="14" l="1"/>
  <c r="T49" i="14"/>
  <c r="S51" i="14" l="1"/>
  <c r="T50" i="14"/>
  <c r="S52" i="14" l="1"/>
  <c r="T51" i="14"/>
  <c r="S53" i="14" l="1"/>
  <c r="T52" i="14"/>
  <c r="S54" i="14" l="1"/>
  <c r="T53" i="14"/>
  <c r="T54" i="14" l="1"/>
  <c r="S55" i="14"/>
  <c r="T55" i="14" l="1"/>
  <c r="S56" i="14"/>
  <c r="T56" i="14" l="1"/>
  <c r="S57" i="14"/>
  <c r="T57" i="14" l="1"/>
  <c r="S58" i="14"/>
  <c r="T58" i="14" l="1"/>
  <c r="S59" i="14"/>
  <c r="T59" i="14" l="1"/>
  <c r="S60" i="14"/>
  <c r="T60" i="14" l="1"/>
  <c r="S61" i="14"/>
  <c r="T61" i="14" l="1"/>
  <c r="S62" i="14"/>
  <c r="T62" i="14" l="1"/>
  <c r="S63" i="14"/>
  <c r="T63" i="14" l="1"/>
  <c r="S64" i="14"/>
  <c r="T64" i="14" l="1"/>
  <c r="S65" i="14"/>
  <c r="T65" i="14" l="1"/>
  <c r="S66" i="14"/>
  <c r="T66" i="14" l="1"/>
  <c r="S67" i="14"/>
  <c r="T67" i="14" l="1"/>
  <c r="S68" i="14"/>
  <c r="T68" i="14" l="1"/>
  <c r="S69" i="14"/>
  <c r="T69" i="14" l="1"/>
  <c r="S70" i="14"/>
  <c r="T70" i="14" l="1"/>
  <c r="S71" i="14"/>
  <c r="T71" i="14" l="1"/>
  <c r="S72" i="14"/>
  <c r="T72" i="14" l="1"/>
  <c r="S73" i="14"/>
  <c r="T73" i="14" l="1"/>
  <c r="S74" i="14"/>
  <c r="T74" i="14" l="1"/>
  <c r="S75" i="14"/>
  <c r="T75" i="14" l="1"/>
  <c r="S76" i="14"/>
  <c r="T76" i="14" l="1"/>
  <c r="S77" i="14"/>
  <c r="T77" i="14" l="1"/>
  <c r="S78" i="14"/>
  <c r="T78" i="14" l="1"/>
  <c r="S79" i="14"/>
  <c r="T79" i="14" l="1"/>
  <c r="S80" i="14"/>
  <c r="T80" i="14" l="1"/>
  <c r="S81" i="14"/>
  <c r="T81" i="14" l="1"/>
  <c r="S82" i="14"/>
  <c r="T82" i="14" l="1"/>
  <c r="S83" i="14"/>
  <c r="T83" i="14" l="1"/>
  <c r="S84" i="14"/>
  <c r="T84" i="14" l="1"/>
  <c r="S85" i="14"/>
  <c r="T85" i="14" l="1"/>
  <c r="S86" i="14"/>
  <c r="T86" i="14" l="1"/>
  <c r="S87" i="14"/>
  <c r="T87" i="14" l="1"/>
  <c r="S88" i="14"/>
  <c r="T88" i="14" l="1"/>
  <c r="S89" i="14"/>
  <c r="T89" i="14" l="1"/>
  <c r="S90" i="14"/>
  <c r="T90" i="14" l="1"/>
  <c r="S91" i="14"/>
  <c r="T91" i="14" l="1"/>
  <c r="S92" i="14"/>
  <c r="T92" i="14" l="1"/>
  <c r="S93" i="14"/>
  <c r="T93" i="14" l="1"/>
  <c r="S94" i="14"/>
  <c r="T94" i="14" l="1"/>
  <c r="S95" i="14"/>
  <c r="T95" i="14" l="1"/>
  <c r="S96" i="14"/>
  <c r="T96" i="14" l="1"/>
  <c r="S97" i="14"/>
  <c r="T97" i="14" l="1"/>
  <c r="S98" i="14"/>
  <c r="T98" i="14" l="1"/>
  <c r="S99" i="14"/>
  <c r="T99" i="14" l="1"/>
  <c r="S100" i="14"/>
  <c r="T100" i="14" l="1"/>
  <c r="S101" i="14"/>
  <c r="T101" i="14" l="1"/>
  <c r="S102" i="14"/>
  <c r="T102" i="14" l="1"/>
  <c r="S103" i="14"/>
  <c r="T103" i="14" l="1"/>
  <c r="S104" i="14"/>
  <c r="T104" i="14" l="1"/>
  <c r="S105" i="14"/>
  <c r="T105" i="14" s="1"/>
</calcChain>
</file>

<file path=xl/sharedStrings.xml><?xml version="1.0" encoding="utf-8"?>
<sst xmlns="http://schemas.openxmlformats.org/spreadsheetml/2006/main" count="182" uniqueCount="96">
  <si>
    <t>Cost - Mx</t>
  </si>
  <si>
    <t>Weight</t>
  </si>
  <si>
    <t>Cost - AQ</t>
  </si>
  <si>
    <t>Maker</t>
  </si>
  <si>
    <t>Trellisware</t>
  </si>
  <si>
    <t>Persistent Systems</t>
  </si>
  <si>
    <t>OCEUS</t>
  </si>
  <si>
    <t>Simultaneous Freqs</t>
  </si>
  <si>
    <t>Total Freqs</t>
  </si>
  <si>
    <t>Bandwidth Req (MHz)</t>
  </si>
  <si>
    <t>Power Req (W)</t>
  </si>
  <si>
    <t>Throughput-dl (Mb/s)</t>
  </si>
  <si>
    <t>Throughput-up (Mb/s)</t>
  </si>
  <si>
    <t>Communication System</t>
  </si>
  <si>
    <t>WildCat II</t>
  </si>
  <si>
    <t>(1)VHF/(2)UHF</t>
  </si>
  <si>
    <t>TML</t>
  </si>
  <si>
    <t>MTBF</t>
  </si>
  <si>
    <t>MTTR</t>
  </si>
  <si>
    <t>Availability</t>
  </si>
  <si>
    <t>Complexity</t>
  </si>
  <si>
    <t>5/10/20/40 MHz</t>
  </si>
  <si>
    <t>Harris</t>
  </si>
  <si>
    <t>AeroVironment</t>
  </si>
  <si>
    <t>Size (in^3)</t>
  </si>
  <si>
    <t>Frequency Hopping</t>
  </si>
  <si>
    <t>Encryption Enabled</t>
  </si>
  <si>
    <t>Range</t>
  </si>
  <si>
    <t>None</t>
  </si>
  <si>
    <t>GSAAdvaantage</t>
  </si>
  <si>
    <t>http://www.defenseindustrydaily.com/Digital-Raven-Up-to-666M-to-AeroVironment-for-UAV-Upgrades-06050/</t>
  </si>
  <si>
    <t>http://www.defenseindustrydaily.com/Drone-Relay-PRC-152-Radios-RQ-7-UAVs-Front-Line-Bandwidth-04753/</t>
  </si>
  <si>
    <t>Y</t>
  </si>
  <si>
    <t>N</t>
  </si>
  <si>
    <t>Data</t>
  </si>
  <si>
    <t>Voice / Data</t>
  </si>
  <si>
    <t>Both</t>
  </si>
  <si>
    <t>Tx Power Out</t>
  </si>
  <si>
    <t>http://www.avinc.com/downloads/DDLDataSheet2012.pdf</t>
  </si>
  <si>
    <t>FIPS 140-2 (up to level 2)</t>
  </si>
  <si>
    <t>http://www.persistentsystems.com/pdf/Gen4_GovernmentAndMilitary_SpecSheet.pdf</t>
  </si>
  <si>
    <t>http://www.oceusnetworks.com/sites/oceusnetworks.com/files/oceus-ds-xiphos-7-13final.pdf</t>
  </si>
  <si>
    <t>AES</t>
  </si>
  <si>
    <t>Sierra II Based Type-1</t>
  </si>
  <si>
    <t>http://rf.harris.com/media/AN-PRC-117G_WEB_tcm26-9017.pdf</t>
  </si>
  <si>
    <t>http://rf.harris.com/media/AN-PRC-152_M1_Web_tcm26-9021.pdf</t>
  </si>
  <si>
    <t>http://rf.harris.com/media/prc-152_vrc-110_handbook_tcm26-11408.pdf</t>
  </si>
  <si>
    <t>IOC</t>
  </si>
  <si>
    <t>Year in Service</t>
  </si>
  <si>
    <t>Ocelot</t>
  </si>
  <si>
    <t>https://www.trellisware.com/wp-content/uploads/TW-600_Ocelot_Product_bulletin.pdf</t>
  </si>
  <si>
    <t>https://www.trellisware.com/wp-content/uploads/TW-130-WildCat-II-Product-Bulletin.pdf</t>
  </si>
  <si>
    <t>Throughput</t>
  </si>
  <si>
    <t>Mesh</t>
  </si>
  <si>
    <t>Voice</t>
  </si>
  <si>
    <t>Manet</t>
  </si>
  <si>
    <t>Digital Data Link</t>
  </si>
  <si>
    <t>Xiphos - 6RU</t>
  </si>
  <si>
    <t>Xiphos - 1RU</t>
  </si>
  <si>
    <t>Falcon III AN/PRC-117G</t>
  </si>
  <si>
    <t>Wave Relay Quad</t>
  </si>
  <si>
    <t>Wave Relay</t>
  </si>
  <si>
    <t>Receiver Sensitivity (dBm)</t>
  </si>
  <si>
    <t>Falcon III RF-7800W OU440</t>
  </si>
  <si>
    <t>Mesh/MANET/None</t>
  </si>
  <si>
    <t>Pounds</t>
  </si>
  <si>
    <t>Assessed value</t>
  </si>
  <si>
    <t>a</t>
  </si>
  <si>
    <t>K</t>
  </si>
  <si>
    <t>Calculated value</t>
  </si>
  <si>
    <t xml:space="preserve">Squared difference </t>
  </si>
  <si>
    <t>sum of squared differences</t>
  </si>
  <si>
    <t>x</t>
  </si>
  <si>
    <t>v(x)</t>
  </si>
  <si>
    <t>b</t>
  </si>
  <si>
    <t>Years in service</t>
  </si>
  <si>
    <t>Attributes</t>
  </si>
  <si>
    <t>Objective</t>
  </si>
  <si>
    <t>Performance</t>
  </si>
  <si>
    <t>Readiness</t>
  </si>
  <si>
    <t>Flexibility</t>
  </si>
  <si>
    <t>Local weight</t>
  </si>
  <si>
    <t>Global weight</t>
  </si>
  <si>
    <t>Attribute</t>
  </si>
  <si>
    <t>Measure of effectiveness</t>
  </si>
  <si>
    <t>Effectiveness by objective</t>
  </si>
  <si>
    <t>Mbps</t>
  </si>
  <si>
    <t>Watts</t>
  </si>
  <si>
    <t>dBm</t>
  </si>
  <si>
    <t>Mesh capability</t>
  </si>
  <si>
    <t>Power output</t>
  </si>
  <si>
    <t>Receiver sensitivity</t>
  </si>
  <si>
    <t>Power consumption</t>
  </si>
  <si>
    <t>Technology maturity</t>
  </si>
  <si>
    <t>Traffic type</t>
  </si>
  <si>
    <t>Acquisition cost ($ thous)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</si>
</sst>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E+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NumberFormat="1"/>
    <xf numFmtId="0" fontId="1" fillId="0" borderId="0" xfId="1"/>
    <xf numFmtId="0" fontId="0" fillId="0" borderId="0" xfId="0" quotePrefix="1"/>
    <xf numFmtId="0" fontId="0" fillId="0" borderId="0" xfId="0" applyFill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2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0000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Throughput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Throughput!$A$2:$A$4</c:f>
              <c:numCache>
                <c:formatCode>General</c:formatCode>
                <c:ptCount val="3"/>
                <c:pt idx="0">
                  <c:v>50</c:v>
                </c:pt>
                <c:pt idx="1">
                  <c:v>150</c:v>
                </c:pt>
                <c:pt idx="2">
                  <c:v>250</c:v>
                </c:pt>
              </c:numCache>
            </c:numRef>
          </c:xVal>
          <c:yVal>
            <c:numRef>
              <c:f>Throughput!$B$2:$B$4</c:f>
              <c:numCache>
                <c:formatCode>General</c:formatCode>
                <c:ptCount val="3"/>
                <c:pt idx="0">
                  <c:v>0</c:v>
                </c:pt>
                <c:pt idx="1">
                  <c:v>0.7</c:v>
                </c:pt>
                <c:pt idx="2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Throughput!$S$4:$S$105</c:f>
              <c:numCache>
                <c:formatCode>General</c:formatCode>
                <c:ptCount val="102"/>
                <c:pt idx="0">
                  <c:v>50</c:v>
                </c:pt>
                <c:pt idx="1">
                  <c:v>54</c:v>
                </c:pt>
                <c:pt idx="2">
                  <c:v>58</c:v>
                </c:pt>
                <c:pt idx="3">
                  <c:v>62</c:v>
                </c:pt>
                <c:pt idx="4">
                  <c:v>66</c:v>
                </c:pt>
                <c:pt idx="5">
                  <c:v>70</c:v>
                </c:pt>
                <c:pt idx="6">
                  <c:v>74</c:v>
                </c:pt>
                <c:pt idx="7">
                  <c:v>78</c:v>
                </c:pt>
                <c:pt idx="8">
                  <c:v>82</c:v>
                </c:pt>
                <c:pt idx="9">
                  <c:v>86</c:v>
                </c:pt>
                <c:pt idx="10">
                  <c:v>90</c:v>
                </c:pt>
                <c:pt idx="11">
                  <c:v>94</c:v>
                </c:pt>
                <c:pt idx="12">
                  <c:v>98</c:v>
                </c:pt>
                <c:pt idx="13">
                  <c:v>102</c:v>
                </c:pt>
                <c:pt idx="14">
                  <c:v>106</c:v>
                </c:pt>
                <c:pt idx="15">
                  <c:v>110</c:v>
                </c:pt>
                <c:pt idx="16">
                  <c:v>114</c:v>
                </c:pt>
                <c:pt idx="17">
                  <c:v>118</c:v>
                </c:pt>
                <c:pt idx="18">
                  <c:v>122</c:v>
                </c:pt>
                <c:pt idx="19">
                  <c:v>126</c:v>
                </c:pt>
                <c:pt idx="20">
                  <c:v>130</c:v>
                </c:pt>
                <c:pt idx="21">
                  <c:v>134</c:v>
                </c:pt>
                <c:pt idx="22">
                  <c:v>138</c:v>
                </c:pt>
                <c:pt idx="23">
                  <c:v>142</c:v>
                </c:pt>
                <c:pt idx="24">
                  <c:v>146</c:v>
                </c:pt>
                <c:pt idx="25">
                  <c:v>150</c:v>
                </c:pt>
                <c:pt idx="26">
                  <c:v>154</c:v>
                </c:pt>
                <c:pt idx="27">
                  <c:v>158</c:v>
                </c:pt>
                <c:pt idx="28">
                  <c:v>162</c:v>
                </c:pt>
                <c:pt idx="29">
                  <c:v>166</c:v>
                </c:pt>
                <c:pt idx="30">
                  <c:v>170</c:v>
                </c:pt>
                <c:pt idx="31">
                  <c:v>174</c:v>
                </c:pt>
                <c:pt idx="32">
                  <c:v>178</c:v>
                </c:pt>
                <c:pt idx="33">
                  <c:v>182</c:v>
                </c:pt>
                <c:pt idx="34">
                  <c:v>186</c:v>
                </c:pt>
                <c:pt idx="35">
                  <c:v>190</c:v>
                </c:pt>
                <c:pt idx="36">
                  <c:v>194</c:v>
                </c:pt>
                <c:pt idx="37">
                  <c:v>198</c:v>
                </c:pt>
                <c:pt idx="38">
                  <c:v>202</c:v>
                </c:pt>
                <c:pt idx="39">
                  <c:v>206</c:v>
                </c:pt>
                <c:pt idx="40">
                  <c:v>210</c:v>
                </c:pt>
                <c:pt idx="41">
                  <c:v>214</c:v>
                </c:pt>
                <c:pt idx="42">
                  <c:v>218</c:v>
                </c:pt>
                <c:pt idx="43">
                  <c:v>222</c:v>
                </c:pt>
                <c:pt idx="44">
                  <c:v>226</c:v>
                </c:pt>
                <c:pt idx="45">
                  <c:v>230</c:v>
                </c:pt>
                <c:pt idx="46">
                  <c:v>234</c:v>
                </c:pt>
                <c:pt idx="47">
                  <c:v>238</c:v>
                </c:pt>
                <c:pt idx="48">
                  <c:v>242</c:v>
                </c:pt>
                <c:pt idx="49">
                  <c:v>246</c:v>
                </c:pt>
                <c:pt idx="50">
                  <c:v>250</c:v>
                </c:pt>
                <c:pt idx="51">
                  <c:v>254</c:v>
                </c:pt>
                <c:pt idx="52">
                  <c:v>258</c:v>
                </c:pt>
                <c:pt idx="53">
                  <c:v>262</c:v>
                </c:pt>
                <c:pt idx="54">
                  <c:v>266</c:v>
                </c:pt>
                <c:pt idx="55">
                  <c:v>270</c:v>
                </c:pt>
                <c:pt idx="56">
                  <c:v>274</c:v>
                </c:pt>
                <c:pt idx="57">
                  <c:v>278</c:v>
                </c:pt>
                <c:pt idx="58">
                  <c:v>282</c:v>
                </c:pt>
                <c:pt idx="59">
                  <c:v>286</c:v>
                </c:pt>
                <c:pt idx="60">
                  <c:v>290</c:v>
                </c:pt>
                <c:pt idx="61">
                  <c:v>294</c:v>
                </c:pt>
                <c:pt idx="62">
                  <c:v>298</c:v>
                </c:pt>
                <c:pt idx="63">
                  <c:v>302</c:v>
                </c:pt>
                <c:pt idx="64">
                  <c:v>306</c:v>
                </c:pt>
                <c:pt idx="65">
                  <c:v>310</c:v>
                </c:pt>
                <c:pt idx="66">
                  <c:v>314</c:v>
                </c:pt>
                <c:pt idx="67">
                  <c:v>318</c:v>
                </c:pt>
                <c:pt idx="68">
                  <c:v>322</c:v>
                </c:pt>
                <c:pt idx="69">
                  <c:v>326</c:v>
                </c:pt>
                <c:pt idx="70">
                  <c:v>330</c:v>
                </c:pt>
                <c:pt idx="71">
                  <c:v>334</c:v>
                </c:pt>
                <c:pt idx="72">
                  <c:v>338</c:v>
                </c:pt>
                <c:pt idx="73">
                  <c:v>342</c:v>
                </c:pt>
                <c:pt idx="74">
                  <c:v>346</c:v>
                </c:pt>
                <c:pt idx="75">
                  <c:v>350</c:v>
                </c:pt>
                <c:pt idx="76">
                  <c:v>354</c:v>
                </c:pt>
                <c:pt idx="77">
                  <c:v>358</c:v>
                </c:pt>
                <c:pt idx="78">
                  <c:v>362</c:v>
                </c:pt>
                <c:pt idx="79">
                  <c:v>366</c:v>
                </c:pt>
                <c:pt idx="80">
                  <c:v>370</c:v>
                </c:pt>
                <c:pt idx="81">
                  <c:v>374</c:v>
                </c:pt>
                <c:pt idx="82">
                  <c:v>378</c:v>
                </c:pt>
                <c:pt idx="83">
                  <c:v>382</c:v>
                </c:pt>
                <c:pt idx="84">
                  <c:v>386</c:v>
                </c:pt>
                <c:pt idx="85">
                  <c:v>390</c:v>
                </c:pt>
                <c:pt idx="86">
                  <c:v>394</c:v>
                </c:pt>
                <c:pt idx="87">
                  <c:v>398</c:v>
                </c:pt>
                <c:pt idx="88">
                  <c:v>402</c:v>
                </c:pt>
                <c:pt idx="89">
                  <c:v>406</c:v>
                </c:pt>
                <c:pt idx="90">
                  <c:v>410</c:v>
                </c:pt>
                <c:pt idx="91">
                  <c:v>414</c:v>
                </c:pt>
                <c:pt idx="92">
                  <c:v>418</c:v>
                </c:pt>
                <c:pt idx="93">
                  <c:v>422</c:v>
                </c:pt>
                <c:pt idx="94">
                  <c:v>426</c:v>
                </c:pt>
                <c:pt idx="95">
                  <c:v>430</c:v>
                </c:pt>
                <c:pt idx="96">
                  <c:v>434</c:v>
                </c:pt>
                <c:pt idx="97">
                  <c:v>438</c:v>
                </c:pt>
                <c:pt idx="98">
                  <c:v>442</c:v>
                </c:pt>
                <c:pt idx="99">
                  <c:v>446</c:v>
                </c:pt>
                <c:pt idx="100">
                  <c:v>450</c:v>
                </c:pt>
                <c:pt idx="101">
                  <c:v>454</c:v>
                </c:pt>
              </c:numCache>
            </c:numRef>
          </c:xVal>
          <c:yVal>
            <c:numRef>
              <c:f>Throughput!$T$4:$T$105</c:f>
              <c:numCache>
                <c:formatCode>General</c:formatCode>
                <c:ptCount val="102"/>
                <c:pt idx="0">
                  <c:v>0</c:v>
                </c:pt>
                <c:pt idx="1">
                  <c:v>4.0821921157247879E-2</c:v>
                </c:pt>
                <c:pt idx="2">
                  <c:v>8.0283491908782104E-2</c:v>
                </c:pt>
                <c:pt idx="3">
                  <c:v>0.11843004459501844</c:v>
                </c:pt>
                <c:pt idx="4">
                  <c:v>0.15530540090067765</c:v>
                </c:pt>
                <c:pt idx="5">
                  <c:v>0.19095192219590212</c:v>
                </c:pt>
                <c:pt idx="6">
                  <c:v>0.22541055819980355</c:v>
                </c:pt>
                <c:pt idx="7">
                  <c:v>0.25872089402234716</c:v>
                </c:pt>
                <c:pt idx="8">
                  <c:v>0.29092119563860974</c:v>
                </c:pt>
                <c:pt idx="9">
                  <c:v>0.32204845384765363</c:v>
                </c:pt>
                <c:pt idx="10">
                  <c:v>0.35213842676651447</c:v>
                </c:pt>
                <c:pt idx="11">
                  <c:v>0.38122568090811804</c:v>
                </c:pt>
                <c:pt idx="12">
                  <c:v>0.40934363089031661</c:v>
                </c:pt>
                <c:pt idx="13">
                  <c:v>0.43652457782165993</c:v>
                </c:pt>
                <c:pt idx="14">
                  <c:v>0.4627997464079982</c:v>
                </c:pt>
                <c:pt idx="15">
                  <c:v>0.48819932082254502</c:v>
                </c:pt>
                <c:pt idx="16">
                  <c:v>0.51275247938060409</c:v>
                </c:pt>
                <c:pt idx="17">
                  <c:v>0.53648742805879646</c:v>
                </c:pt>
                <c:pt idx="18">
                  <c:v>0.55943143289729047</c:v>
                </c:pt>
                <c:pt idx="19">
                  <c:v>0.58161085132226154</c:v>
                </c:pt>
                <c:pt idx="20">
                  <c:v>0.60305116242455958</c:v>
                </c:pt>
                <c:pt idx="21">
                  <c:v>0.62377699622937111</c:v>
                </c:pt>
                <c:pt idx="22">
                  <c:v>0.64381216199049796</c:v>
                </c:pt>
                <c:pt idx="23">
                  <c:v>0.66317967554175694</c:v>
                </c:pt>
                <c:pt idx="24">
                  <c:v>0.68190178573692117</c:v>
                </c:pt>
                <c:pt idx="25">
                  <c:v>0.70000000000857654</c:v>
                </c:pt>
                <c:pt idx="26">
                  <c:v>0.71749510907525405</c:v>
                </c:pt>
                <c:pt idx="27">
                  <c:v>0.73440721082522087</c:v>
                </c:pt>
                <c:pt idx="28">
                  <c:v>0.75075573340436874</c:v>
                </c:pt>
                <c:pt idx="29">
                  <c:v>0.76655945753472021</c:v>
                </c:pt>
                <c:pt idx="30">
                  <c:v>0.7818365380891924</c:v>
                </c:pt>
                <c:pt idx="31">
                  <c:v>0.79660452494740419</c:v>
                </c:pt>
                <c:pt idx="32">
                  <c:v>0.8108803831564827</c:v>
                </c:pt>
                <c:pt idx="33">
                  <c:v>0.8246805124200316</c:v>
                </c:pt>
                <c:pt idx="34">
                  <c:v>0.83802076593764829</c:v>
                </c:pt>
                <c:pt idx="35">
                  <c:v>0.8509164686166335</c:v>
                </c:pt>
                <c:pt idx="36">
                  <c:v>0.86338243467681175</c:v>
                </c:pt>
                <c:pt idx="37">
                  <c:v>0.87543298466869035</c:v>
                </c:pt>
                <c:pt idx="38">
                  <c:v>0.8870819619245045</c:v>
                </c:pt>
                <c:pt idx="39">
                  <c:v>0.89834274846104678</c:v>
                </c:pt>
                <c:pt idx="40">
                  <c:v>0.90922828035255088</c:v>
                </c:pt>
                <c:pt idx="41">
                  <c:v>0.91975106259128925</c:v>
                </c:pt>
                <c:pt idx="42">
                  <c:v>0.92992318345295621</c:v>
                </c:pt>
                <c:pt idx="43">
                  <c:v>0.93975632838333789</c:v>
                </c:pt>
                <c:pt idx="44">
                  <c:v>0.94926179342222294</c:v>
                </c:pt>
                <c:pt idx="45">
                  <c:v>0.9584504981799753</c:v>
                </c:pt>
                <c:pt idx="46">
                  <c:v>0.96733299838167464</c:v>
                </c:pt>
                <c:pt idx="47">
                  <c:v>0.97591949799323541</c:v>
                </c:pt>
                <c:pt idx="48">
                  <c:v>0.98421986094343605</c:v>
                </c:pt>
                <c:pt idx="49">
                  <c:v>0.99224362245532149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43936"/>
        <c:axId val="47158400"/>
      </c:scatterChart>
      <c:valAx>
        <c:axId val="47143936"/>
        <c:scaling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Mbps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58400"/>
        <c:crosses val="autoZero"/>
        <c:crossBetween val="midCat"/>
      </c:valAx>
      <c:valAx>
        <c:axId val="4715840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439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Power output</a:t>
            </a:r>
            <a:r>
              <a:rPr lang="en-US" baseline="0"/>
              <a:t> value </a:t>
            </a:r>
            <a:r>
              <a:rPr lang="en-US"/>
              <a:t>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'Power output'!$A$2:$A$12</c:f>
              <c:numCache>
                <c:formatCode>General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70</c:v>
                </c:pt>
                <c:pt idx="3">
                  <c:v>100</c:v>
                </c:pt>
                <c:pt idx="4">
                  <c:v>135</c:v>
                </c:pt>
                <c:pt idx="5">
                  <c:v>180</c:v>
                </c:pt>
                <c:pt idx="6">
                  <c:v>220</c:v>
                </c:pt>
                <c:pt idx="7">
                  <c:v>260</c:v>
                </c:pt>
                <c:pt idx="8">
                  <c:v>300</c:v>
                </c:pt>
                <c:pt idx="9">
                  <c:v>400</c:v>
                </c:pt>
                <c:pt idx="10">
                  <c:v>500</c:v>
                </c:pt>
              </c:numCache>
            </c:numRef>
          </c:xVal>
          <c:yVal>
            <c:numRef>
              <c:f>'Power output'!$B$2:$B$12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'Power output'!$S$4:$S$105</c:f>
              <c:numCache>
                <c:formatCode>General</c:formatCode>
                <c:ptCount val="10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</c:numCache>
            </c:numRef>
          </c:xVal>
          <c:yVal>
            <c:numRef>
              <c:f>'Power output'!$T$4:$T$105</c:f>
              <c:numCache>
                <c:formatCode>General</c:formatCode>
                <c:ptCount val="102"/>
                <c:pt idx="0">
                  <c:v>0</c:v>
                </c:pt>
                <c:pt idx="1">
                  <c:v>6.02127596839927E-2</c:v>
                </c:pt>
                <c:pt idx="2">
                  <c:v>0.11929751489610434</c:v>
                </c:pt>
                <c:pt idx="3">
                  <c:v>0.17567547823899818</c:v>
                </c:pt>
                <c:pt idx="4">
                  <c:v>0.22912259743627791</c:v>
                </c:pt>
                <c:pt idx="5">
                  <c:v>0.27962579274341476</c:v>
                </c:pt>
                <c:pt idx="6">
                  <c:v>0.32725023353091881</c:v>
                </c:pt>
                <c:pt idx="7">
                  <c:v>0.37209649438816461</c:v>
                </c:pt>
                <c:pt idx="8">
                  <c:v>0.41428204842105038</c:v>
                </c:pt>
                <c:pt idx="9">
                  <c:v>0.45393191846138592</c:v>
                </c:pt>
                <c:pt idx="10">
                  <c:v>0.49117348506501607</c:v>
                </c:pt>
                <c:pt idx="11">
                  <c:v>0.5261334296319401</c:v>
                </c:pt>
                <c:pt idx="12">
                  <c:v>0.55893587452811189</c:v>
                </c:pt>
                <c:pt idx="13">
                  <c:v>0.58970123886695358</c:v>
                </c:pt>
                <c:pt idx="14">
                  <c:v>0.61854554327470701</c:v>
                </c:pt>
                <c:pt idx="15">
                  <c:v>0.64558000668533011</c:v>
                </c:pt>
                <c:pt idx="16">
                  <c:v>0.67091083818526398</c:v>
                </c:pt>
                <c:pt idx="17">
                  <c:v>0.69463916156341965</c:v>
                </c:pt>
                <c:pt idx="18">
                  <c:v>0.71686103116160582</c:v>
                </c:pt>
                <c:pt idx="19">
                  <c:v>0.73766751078113002</c:v>
                </c:pt>
                <c:pt idx="20">
                  <c:v>0.7571447959510379</c:v>
                </c:pt>
                <c:pt idx="21">
                  <c:v>0.77537436557842621</c:v>
                </c:pt>
                <c:pt idx="22">
                  <c:v>0.79243315291660277</c:v>
                </c:pt>
                <c:pt idx="23">
                  <c:v>0.80839372852724478</c:v>
                </c:pt>
                <c:pt idx="24">
                  <c:v>0.82332448986648465</c:v>
                </c:pt>
                <c:pt idx="25">
                  <c:v>0.8372898535403499</c:v>
                </c:pt>
                <c:pt idx="26">
                  <c:v>0.85035044731469556</c:v>
                </c:pt>
                <c:pt idx="27">
                  <c:v>0.86256329973748525</c:v>
                </c:pt>
                <c:pt idx="28">
                  <c:v>0.87398202581126894</c:v>
                </c:pt>
                <c:pt idx="29">
                  <c:v>0.88465700759256305</c:v>
                </c:pt>
                <c:pt idx="30">
                  <c:v>0.89463556892906659</c:v>
                </c:pt>
                <c:pt idx="31">
                  <c:v>0.90396214380137963</c:v>
                </c:pt>
                <c:pt idx="32">
                  <c:v>0.91267843793215664</c:v>
                </c:pt>
                <c:pt idx="33">
                  <c:v>0.9208235834764491</c:v>
                </c:pt>
                <c:pt idx="34">
                  <c:v>0.92843428672278705</c:v>
                </c:pt>
                <c:pt idx="35">
                  <c:v>0.93554496882318994</c:v>
                </c:pt>
                <c:pt idx="36">
                  <c:v>0.9421878996377534</c:v>
                </c:pt>
                <c:pt idx="37">
                  <c:v>0.94839332483029237</c:v>
                </c:pt>
                <c:pt idx="38">
                  <c:v>0.95418958638931284</c:v>
                </c:pt>
                <c:pt idx="39">
                  <c:v>0.95960323677604742</c:v>
                </c:pt>
                <c:pt idx="40">
                  <c:v>0.96465914692061749</c:v>
                </c:pt>
                <c:pt idx="41">
                  <c:v>0.96938060830026673</c:v>
                </c:pt>
                <c:pt idx="42">
                  <c:v>0.97378942934140267</c:v>
                </c:pt>
                <c:pt idx="43">
                  <c:v>0.97790602639096069</c:v>
                </c:pt>
                <c:pt idx="44">
                  <c:v>0.98174950950322404</c:v>
                </c:pt>
                <c:pt idx="45">
                  <c:v>0.98533776328639089</c:v>
                </c:pt>
                <c:pt idx="46">
                  <c:v>0.98868752304942698</c:v>
                </c:pt>
                <c:pt idx="47">
                  <c:v>0.99181444648452111</c:v>
                </c:pt>
                <c:pt idx="48">
                  <c:v>0.99473318111414089</c:v>
                </c:pt>
                <c:pt idx="49">
                  <c:v>0.99745742772455803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10272"/>
        <c:axId val="66282624"/>
      </c:scatterChart>
      <c:valAx>
        <c:axId val="63910272"/>
        <c:scaling>
          <c:orientation val="minMax"/>
          <c:max val="6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282624"/>
        <c:crosses val="autoZero"/>
        <c:crossBetween val="midCat"/>
      </c:valAx>
      <c:valAx>
        <c:axId val="662826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910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Receiver sensitivity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'Receiver sensitivity'!$A$2:$A$12</c:f>
              <c:numCache>
                <c:formatCode>General</c:formatCode>
                <c:ptCount val="11"/>
                <c:pt idx="0">
                  <c:v>-80</c:v>
                </c:pt>
                <c:pt idx="1">
                  <c:v>-88</c:v>
                </c:pt>
                <c:pt idx="2">
                  <c:v>-96</c:v>
                </c:pt>
                <c:pt idx="3">
                  <c:v>-100</c:v>
                </c:pt>
                <c:pt idx="4">
                  <c:v>-104</c:v>
                </c:pt>
                <c:pt idx="5">
                  <c:v>-108</c:v>
                </c:pt>
                <c:pt idx="6">
                  <c:v>-112</c:v>
                </c:pt>
                <c:pt idx="7">
                  <c:v>-114</c:v>
                </c:pt>
                <c:pt idx="8">
                  <c:v>-116</c:v>
                </c:pt>
                <c:pt idx="9">
                  <c:v>-118</c:v>
                </c:pt>
                <c:pt idx="10">
                  <c:v>-120</c:v>
                </c:pt>
              </c:numCache>
            </c:numRef>
          </c:xVal>
          <c:yVal>
            <c:numRef>
              <c:f>'Receiver sensitivity'!$B$2:$B$12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'Receiver sensitivity'!$S$4:$S$105</c:f>
              <c:numCache>
                <c:formatCode>General</c:formatCode>
                <c:ptCount val="102"/>
                <c:pt idx="0">
                  <c:v>-120</c:v>
                </c:pt>
                <c:pt idx="1">
                  <c:v>-119.2</c:v>
                </c:pt>
                <c:pt idx="2">
                  <c:v>-118.4</c:v>
                </c:pt>
                <c:pt idx="3">
                  <c:v>-117.60000000000001</c:v>
                </c:pt>
                <c:pt idx="4">
                  <c:v>-116.80000000000001</c:v>
                </c:pt>
                <c:pt idx="5">
                  <c:v>-116.00000000000001</c:v>
                </c:pt>
                <c:pt idx="6">
                  <c:v>-115.20000000000002</c:v>
                </c:pt>
                <c:pt idx="7">
                  <c:v>-114.40000000000002</c:v>
                </c:pt>
                <c:pt idx="8">
                  <c:v>-113.60000000000002</c:v>
                </c:pt>
                <c:pt idx="9">
                  <c:v>-112.80000000000003</c:v>
                </c:pt>
                <c:pt idx="10">
                  <c:v>-112.00000000000003</c:v>
                </c:pt>
                <c:pt idx="11">
                  <c:v>-111.20000000000003</c:v>
                </c:pt>
                <c:pt idx="12">
                  <c:v>-110.40000000000003</c:v>
                </c:pt>
                <c:pt idx="13">
                  <c:v>-109.60000000000004</c:v>
                </c:pt>
                <c:pt idx="14">
                  <c:v>-108.80000000000004</c:v>
                </c:pt>
                <c:pt idx="15">
                  <c:v>-108.00000000000004</c:v>
                </c:pt>
                <c:pt idx="16">
                  <c:v>-107.20000000000005</c:v>
                </c:pt>
                <c:pt idx="17">
                  <c:v>-106.40000000000005</c:v>
                </c:pt>
                <c:pt idx="18">
                  <c:v>-105.60000000000005</c:v>
                </c:pt>
                <c:pt idx="19">
                  <c:v>-104.80000000000005</c:v>
                </c:pt>
                <c:pt idx="20">
                  <c:v>-104.00000000000006</c:v>
                </c:pt>
                <c:pt idx="21">
                  <c:v>-103.20000000000006</c:v>
                </c:pt>
                <c:pt idx="22">
                  <c:v>-102.40000000000006</c:v>
                </c:pt>
                <c:pt idx="23">
                  <c:v>-101.60000000000007</c:v>
                </c:pt>
                <c:pt idx="24">
                  <c:v>-100.80000000000007</c:v>
                </c:pt>
                <c:pt idx="25">
                  <c:v>-100.00000000000007</c:v>
                </c:pt>
                <c:pt idx="26">
                  <c:v>-99.200000000000074</c:v>
                </c:pt>
                <c:pt idx="27">
                  <c:v>-98.400000000000077</c:v>
                </c:pt>
                <c:pt idx="28">
                  <c:v>-97.60000000000008</c:v>
                </c:pt>
                <c:pt idx="29">
                  <c:v>-96.800000000000082</c:v>
                </c:pt>
                <c:pt idx="30">
                  <c:v>-96.000000000000085</c:v>
                </c:pt>
                <c:pt idx="31">
                  <c:v>-95.200000000000088</c:v>
                </c:pt>
                <c:pt idx="32">
                  <c:v>-94.400000000000091</c:v>
                </c:pt>
                <c:pt idx="33">
                  <c:v>-93.600000000000094</c:v>
                </c:pt>
                <c:pt idx="34">
                  <c:v>-92.800000000000097</c:v>
                </c:pt>
                <c:pt idx="35">
                  <c:v>-92.000000000000099</c:v>
                </c:pt>
                <c:pt idx="36">
                  <c:v>-91.200000000000102</c:v>
                </c:pt>
                <c:pt idx="37">
                  <c:v>-90.400000000000105</c:v>
                </c:pt>
                <c:pt idx="38">
                  <c:v>-89.600000000000108</c:v>
                </c:pt>
                <c:pt idx="39">
                  <c:v>-88.800000000000111</c:v>
                </c:pt>
                <c:pt idx="40">
                  <c:v>-88.000000000000114</c:v>
                </c:pt>
                <c:pt idx="41">
                  <c:v>-87.200000000000117</c:v>
                </c:pt>
                <c:pt idx="42">
                  <c:v>-86.400000000000119</c:v>
                </c:pt>
                <c:pt idx="43">
                  <c:v>-85.600000000000122</c:v>
                </c:pt>
                <c:pt idx="44">
                  <c:v>-84.800000000000125</c:v>
                </c:pt>
                <c:pt idx="45">
                  <c:v>-84.000000000000128</c:v>
                </c:pt>
                <c:pt idx="46">
                  <c:v>-83.200000000000131</c:v>
                </c:pt>
                <c:pt idx="47">
                  <c:v>-82.400000000000134</c:v>
                </c:pt>
                <c:pt idx="48">
                  <c:v>-81.600000000000136</c:v>
                </c:pt>
                <c:pt idx="49">
                  <c:v>-80.800000000000139</c:v>
                </c:pt>
                <c:pt idx="50">
                  <c:v>-80.000000000000142</c:v>
                </c:pt>
                <c:pt idx="51">
                  <c:v>-79.200000000000145</c:v>
                </c:pt>
                <c:pt idx="52">
                  <c:v>-78.400000000000148</c:v>
                </c:pt>
                <c:pt idx="53">
                  <c:v>-77.600000000000151</c:v>
                </c:pt>
                <c:pt idx="54">
                  <c:v>-76.800000000000153</c:v>
                </c:pt>
                <c:pt idx="55">
                  <c:v>-76.000000000000156</c:v>
                </c:pt>
                <c:pt idx="56">
                  <c:v>-75.200000000000159</c:v>
                </c:pt>
                <c:pt idx="57">
                  <c:v>-74.400000000000162</c:v>
                </c:pt>
                <c:pt idx="58">
                  <c:v>-73.600000000000165</c:v>
                </c:pt>
                <c:pt idx="59">
                  <c:v>-72.800000000000168</c:v>
                </c:pt>
                <c:pt idx="60">
                  <c:v>-72.000000000000171</c:v>
                </c:pt>
                <c:pt idx="61">
                  <c:v>-71.200000000000173</c:v>
                </c:pt>
                <c:pt idx="62">
                  <c:v>-70.400000000000176</c:v>
                </c:pt>
                <c:pt idx="63">
                  <c:v>-69.600000000000179</c:v>
                </c:pt>
                <c:pt idx="64">
                  <c:v>-68.800000000000182</c:v>
                </c:pt>
                <c:pt idx="65">
                  <c:v>-68.000000000000185</c:v>
                </c:pt>
                <c:pt idx="66">
                  <c:v>-67.200000000000188</c:v>
                </c:pt>
                <c:pt idx="67">
                  <c:v>-66.40000000000019</c:v>
                </c:pt>
                <c:pt idx="68">
                  <c:v>-65.600000000000193</c:v>
                </c:pt>
                <c:pt idx="69">
                  <c:v>-64.800000000000196</c:v>
                </c:pt>
                <c:pt idx="70">
                  <c:v>-64.000000000000199</c:v>
                </c:pt>
                <c:pt idx="71">
                  <c:v>-63.200000000000202</c:v>
                </c:pt>
                <c:pt idx="72">
                  <c:v>-62.400000000000205</c:v>
                </c:pt>
                <c:pt idx="73">
                  <c:v>-61.600000000000207</c:v>
                </c:pt>
                <c:pt idx="74">
                  <c:v>-60.80000000000021</c:v>
                </c:pt>
                <c:pt idx="75">
                  <c:v>-60.000000000000213</c:v>
                </c:pt>
                <c:pt idx="76">
                  <c:v>-59.200000000000216</c:v>
                </c:pt>
                <c:pt idx="77">
                  <c:v>-58.400000000000219</c:v>
                </c:pt>
                <c:pt idx="78">
                  <c:v>-57.600000000000222</c:v>
                </c:pt>
                <c:pt idx="79">
                  <c:v>-56.800000000000225</c:v>
                </c:pt>
                <c:pt idx="80">
                  <c:v>-56.000000000000227</c:v>
                </c:pt>
                <c:pt idx="81">
                  <c:v>-55.20000000000023</c:v>
                </c:pt>
                <c:pt idx="82">
                  <c:v>-54.400000000000233</c:v>
                </c:pt>
                <c:pt idx="83">
                  <c:v>-53.600000000000236</c:v>
                </c:pt>
                <c:pt idx="84">
                  <c:v>-52.800000000000239</c:v>
                </c:pt>
                <c:pt idx="85">
                  <c:v>-52.000000000000242</c:v>
                </c:pt>
                <c:pt idx="86">
                  <c:v>-51.200000000000244</c:v>
                </c:pt>
                <c:pt idx="87">
                  <c:v>-50.400000000000247</c:v>
                </c:pt>
                <c:pt idx="88">
                  <c:v>-49.60000000000025</c:v>
                </c:pt>
                <c:pt idx="89">
                  <c:v>-48.800000000000253</c:v>
                </c:pt>
                <c:pt idx="90">
                  <c:v>-48.000000000000256</c:v>
                </c:pt>
                <c:pt idx="91">
                  <c:v>-47.200000000000259</c:v>
                </c:pt>
                <c:pt idx="92">
                  <c:v>-46.400000000000261</c:v>
                </c:pt>
                <c:pt idx="93">
                  <c:v>-45.600000000000264</c:v>
                </c:pt>
                <c:pt idx="94">
                  <c:v>-44.800000000000267</c:v>
                </c:pt>
                <c:pt idx="95">
                  <c:v>-44.00000000000027</c:v>
                </c:pt>
                <c:pt idx="96">
                  <c:v>-43.200000000000273</c:v>
                </c:pt>
                <c:pt idx="97">
                  <c:v>-42.400000000000276</c:v>
                </c:pt>
                <c:pt idx="98">
                  <c:v>-41.600000000000279</c:v>
                </c:pt>
                <c:pt idx="99">
                  <c:v>-40.800000000000281</c:v>
                </c:pt>
                <c:pt idx="100">
                  <c:v>-40.000000000000284</c:v>
                </c:pt>
                <c:pt idx="101">
                  <c:v>-39.200000000000287</c:v>
                </c:pt>
              </c:numCache>
            </c:numRef>
          </c:xVal>
          <c:yVal>
            <c:numRef>
              <c:f>'Receiver sensitivity'!$T$4:$T$105</c:f>
              <c:numCache>
                <c:formatCode>General</c:formatCode>
                <c:ptCount val="102"/>
                <c:pt idx="0">
                  <c:v>1</c:v>
                </c:pt>
                <c:pt idx="1">
                  <c:v>0.97999999623634471</c:v>
                </c:pt>
                <c:pt idx="2">
                  <c:v>0.95999999247268941</c:v>
                </c:pt>
                <c:pt idx="3">
                  <c:v>0.93999998870903412</c:v>
                </c:pt>
                <c:pt idx="4">
                  <c:v>0.91999998550049022</c:v>
                </c:pt>
                <c:pt idx="5">
                  <c:v>0.89999998229194633</c:v>
                </c:pt>
                <c:pt idx="6">
                  <c:v>0.87999997908340244</c:v>
                </c:pt>
                <c:pt idx="7">
                  <c:v>0.85999997587485855</c:v>
                </c:pt>
                <c:pt idx="8">
                  <c:v>0.83999997322142606</c:v>
                </c:pt>
                <c:pt idx="9">
                  <c:v>0.81999997056799356</c:v>
                </c:pt>
                <c:pt idx="10">
                  <c:v>0.79999996791456107</c:v>
                </c:pt>
                <c:pt idx="11">
                  <c:v>0.77999996581623998</c:v>
                </c:pt>
                <c:pt idx="12">
                  <c:v>0.75999996371791889</c:v>
                </c:pt>
                <c:pt idx="13">
                  <c:v>0.7399999616195978</c:v>
                </c:pt>
                <c:pt idx="14">
                  <c:v>0.7199999595212766</c:v>
                </c:pt>
                <c:pt idx="15">
                  <c:v>0.69999995797806691</c:v>
                </c:pt>
                <c:pt idx="16">
                  <c:v>0.67999995643485722</c:v>
                </c:pt>
                <c:pt idx="17">
                  <c:v>0.65999995544675893</c:v>
                </c:pt>
                <c:pt idx="18">
                  <c:v>0.63999995390354925</c:v>
                </c:pt>
                <c:pt idx="19">
                  <c:v>0.61999995291545096</c:v>
                </c:pt>
                <c:pt idx="20">
                  <c:v>0.59999995192735267</c:v>
                </c:pt>
                <c:pt idx="21">
                  <c:v>0.57999995149436578</c:v>
                </c:pt>
                <c:pt idx="22">
                  <c:v>0.5599999510613789</c:v>
                </c:pt>
                <c:pt idx="23">
                  <c:v>0.53999995062839201</c:v>
                </c:pt>
                <c:pt idx="24">
                  <c:v>0.51999995019540513</c:v>
                </c:pt>
                <c:pt idx="25">
                  <c:v>0.49999995031752958</c:v>
                </c:pt>
                <c:pt idx="26">
                  <c:v>0.4799999498845427</c:v>
                </c:pt>
                <c:pt idx="27">
                  <c:v>0.45999995056177861</c:v>
                </c:pt>
                <c:pt idx="28">
                  <c:v>0.43999995068390313</c:v>
                </c:pt>
                <c:pt idx="29">
                  <c:v>0.41999995136113905</c:v>
                </c:pt>
                <c:pt idx="30">
                  <c:v>0.39999995203837496</c:v>
                </c:pt>
                <c:pt idx="31">
                  <c:v>0.37999995271561088</c:v>
                </c:pt>
                <c:pt idx="32">
                  <c:v>0.35999995394795814</c:v>
                </c:pt>
                <c:pt idx="33">
                  <c:v>0.33999995518030546</c:v>
                </c:pt>
                <c:pt idx="34">
                  <c:v>0.31999995641265278</c:v>
                </c:pt>
                <c:pt idx="35">
                  <c:v>0.29999995820011149</c:v>
                </c:pt>
                <c:pt idx="36">
                  <c:v>0.27999995998757021</c:v>
                </c:pt>
                <c:pt idx="37">
                  <c:v>0.25999996177502893</c:v>
                </c:pt>
                <c:pt idx="38">
                  <c:v>0.23999996356248762</c:v>
                </c:pt>
                <c:pt idx="39">
                  <c:v>0.21999996590505774</c:v>
                </c:pt>
                <c:pt idx="40">
                  <c:v>0.19999996824762786</c:v>
                </c:pt>
                <c:pt idx="41">
                  <c:v>0.17999997059019796</c:v>
                </c:pt>
                <c:pt idx="42">
                  <c:v>0.15999997293276808</c:v>
                </c:pt>
                <c:pt idx="43">
                  <c:v>0.1399999758304496</c:v>
                </c:pt>
                <c:pt idx="44">
                  <c:v>0.1199999787281311</c:v>
                </c:pt>
                <c:pt idx="45">
                  <c:v>9.9999982180924027E-2</c:v>
                </c:pt>
                <c:pt idx="46">
                  <c:v>7.9999985078605534E-2</c:v>
                </c:pt>
                <c:pt idx="47">
                  <c:v>5.999998853139845E-2</c:v>
                </c:pt>
                <c:pt idx="48">
                  <c:v>3.9999992539302767E-2</c:v>
                </c:pt>
                <c:pt idx="49">
                  <c:v>1.9999995992095683E-2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93024"/>
        <c:axId val="81795328"/>
      </c:scatterChart>
      <c:valAx>
        <c:axId val="81793024"/>
        <c:scaling>
          <c:orientation val="minMax"/>
          <c:max val="0"/>
          <c:min val="-2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dBm</a:t>
                </a:r>
              </a:p>
            </c:rich>
          </c:tx>
          <c:layout>
            <c:manualLayout>
              <c:xMode val="edge"/>
              <c:yMode val="edge"/>
              <c:x val="0.36863299327403082"/>
              <c:y val="0.91161759219598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1795328"/>
        <c:crosses val="autoZero"/>
        <c:crossBetween val="midCat"/>
      </c:valAx>
      <c:valAx>
        <c:axId val="817953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793024"/>
        <c:crossesAt val="-200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Mesh capability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'Mesh capability'!$A$2:$A$4</c:f>
              <c:strCache>
                <c:ptCount val="3"/>
                <c:pt idx="0">
                  <c:v>None</c:v>
                </c:pt>
                <c:pt idx="1">
                  <c:v>Manet</c:v>
                </c:pt>
                <c:pt idx="2">
                  <c:v>Mesh</c:v>
                </c:pt>
              </c:strCache>
            </c:strRef>
          </c:cat>
          <c:val>
            <c:numRef>
              <c:f>'Mesh capability'!$B$2:$B$4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55168"/>
        <c:axId val="82057472"/>
      </c:lineChart>
      <c:catAx>
        <c:axId val="8205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Mesh capability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82057472"/>
        <c:crosses val="autoZero"/>
        <c:auto val="0"/>
        <c:lblAlgn val="ctr"/>
        <c:lblOffset val="100"/>
        <c:noMultiLvlLbl val="0"/>
      </c:catAx>
      <c:valAx>
        <c:axId val="820574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055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Traffice type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'Traffic type'!$A$2:$A$4</c:f>
              <c:strCache>
                <c:ptCount val="3"/>
                <c:pt idx="0">
                  <c:v>Voice</c:v>
                </c:pt>
                <c:pt idx="1">
                  <c:v>Data</c:v>
                </c:pt>
                <c:pt idx="2">
                  <c:v>Both</c:v>
                </c:pt>
              </c:strCache>
            </c:strRef>
          </c:cat>
          <c:val>
            <c:numRef>
              <c:f>'Traffic type'!$B$2:$B$4</c:f>
              <c:numCache>
                <c:formatCode>General</c:formatCode>
                <c:ptCount val="3"/>
                <c:pt idx="0">
                  <c:v>0</c:v>
                </c:pt>
                <c:pt idx="1">
                  <c:v>0.8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92768"/>
        <c:axId val="83636608"/>
      </c:lineChart>
      <c:catAx>
        <c:axId val="8339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Traffic</a:t>
                </a:r>
                <a:r>
                  <a:rPr lang="en-US" baseline="0"/>
                  <a:t> type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83636608"/>
        <c:crosses val="autoZero"/>
        <c:auto val="0"/>
        <c:lblAlgn val="ctr"/>
        <c:lblOffset val="100"/>
        <c:noMultiLvlLbl val="0"/>
      </c:catAx>
      <c:valAx>
        <c:axId val="836366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339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Power consumption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'Power consumption'!$A$2:$A$12</c:f>
              <c:numCache>
                <c:formatCode>General</c:formatCode>
                <c:ptCount val="11"/>
                <c:pt idx="0">
                  <c:v>100</c:v>
                </c:pt>
                <c:pt idx="1">
                  <c:v>62</c:v>
                </c:pt>
                <c:pt idx="2">
                  <c:v>43</c:v>
                </c:pt>
                <c:pt idx="3">
                  <c:v>40</c:v>
                </c:pt>
                <c:pt idx="4">
                  <c:v>35</c:v>
                </c:pt>
                <c:pt idx="5">
                  <c:v>30</c:v>
                </c:pt>
                <c:pt idx="6">
                  <c:v>26</c:v>
                </c:pt>
                <c:pt idx="7">
                  <c:v>24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</c:numCache>
            </c:numRef>
          </c:xVal>
          <c:yVal>
            <c:numRef>
              <c:f>'Power consumption'!$B$2:$B$12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'Power consumption'!$S$4:$S$105</c:f>
              <c:numCache>
                <c:formatCode>General</c:formatCode>
                <c:ptCount val="102"/>
                <c:pt idx="0">
                  <c:v>20</c:v>
                </c:pt>
                <c:pt idx="1">
                  <c:v>21.6</c:v>
                </c:pt>
                <c:pt idx="2">
                  <c:v>23.200000000000003</c:v>
                </c:pt>
                <c:pt idx="3">
                  <c:v>24.800000000000004</c:v>
                </c:pt>
                <c:pt idx="4">
                  <c:v>26.400000000000006</c:v>
                </c:pt>
                <c:pt idx="5">
                  <c:v>28.000000000000007</c:v>
                </c:pt>
                <c:pt idx="6">
                  <c:v>29.600000000000009</c:v>
                </c:pt>
                <c:pt idx="7">
                  <c:v>31.20000000000001</c:v>
                </c:pt>
                <c:pt idx="8">
                  <c:v>32.800000000000011</c:v>
                </c:pt>
                <c:pt idx="9">
                  <c:v>34.400000000000013</c:v>
                </c:pt>
                <c:pt idx="10">
                  <c:v>36.000000000000014</c:v>
                </c:pt>
                <c:pt idx="11">
                  <c:v>37.600000000000016</c:v>
                </c:pt>
                <c:pt idx="12">
                  <c:v>39.200000000000017</c:v>
                </c:pt>
                <c:pt idx="13">
                  <c:v>40.800000000000018</c:v>
                </c:pt>
                <c:pt idx="14">
                  <c:v>42.40000000000002</c:v>
                </c:pt>
                <c:pt idx="15">
                  <c:v>44.000000000000021</c:v>
                </c:pt>
                <c:pt idx="16">
                  <c:v>45.600000000000023</c:v>
                </c:pt>
                <c:pt idx="17">
                  <c:v>47.200000000000024</c:v>
                </c:pt>
                <c:pt idx="18">
                  <c:v>48.800000000000026</c:v>
                </c:pt>
                <c:pt idx="19">
                  <c:v>50.400000000000027</c:v>
                </c:pt>
                <c:pt idx="20">
                  <c:v>52.000000000000028</c:v>
                </c:pt>
                <c:pt idx="21">
                  <c:v>53.60000000000003</c:v>
                </c:pt>
                <c:pt idx="22">
                  <c:v>55.200000000000031</c:v>
                </c:pt>
                <c:pt idx="23">
                  <c:v>56.800000000000033</c:v>
                </c:pt>
                <c:pt idx="24">
                  <c:v>58.400000000000034</c:v>
                </c:pt>
                <c:pt idx="25">
                  <c:v>60.000000000000036</c:v>
                </c:pt>
                <c:pt idx="26">
                  <c:v>61.600000000000037</c:v>
                </c:pt>
                <c:pt idx="27">
                  <c:v>63.200000000000038</c:v>
                </c:pt>
                <c:pt idx="28">
                  <c:v>64.80000000000004</c:v>
                </c:pt>
                <c:pt idx="29">
                  <c:v>66.400000000000034</c:v>
                </c:pt>
                <c:pt idx="30">
                  <c:v>68.000000000000028</c:v>
                </c:pt>
                <c:pt idx="31">
                  <c:v>69.600000000000023</c:v>
                </c:pt>
                <c:pt idx="32">
                  <c:v>71.200000000000017</c:v>
                </c:pt>
                <c:pt idx="33">
                  <c:v>72.800000000000011</c:v>
                </c:pt>
                <c:pt idx="34">
                  <c:v>74.400000000000006</c:v>
                </c:pt>
                <c:pt idx="35">
                  <c:v>76</c:v>
                </c:pt>
                <c:pt idx="36">
                  <c:v>77.599999999999994</c:v>
                </c:pt>
                <c:pt idx="37">
                  <c:v>79.199999999999989</c:v>
                </c:pt>
                <c:pt idx="38">
                  <c:v>80.799999999999983</c:v>
                </c:pt>
                <c:pt idx="39">
                  <c:v>82.399999999999977</c:v>
                </c:pt>
                <c:pt idx="40">
                  <c:v>83.999999999999972</c:v>
                </c:pt>
                <c:pt idx="41">
                  <c:v>85.599999999999966</c:v>
                </c:pt>
                <c:pt idx="42">
                  <c:v>87.19999999999996</c:v>
                </c:pt>
                <c:pt idx="43">
                  <c:v>88.799999999999955</c:v>
                </c:pt>
                <c:pt idx="44">
                  <c:v>90.399999999999949</c:v>
                </c:pt>
                <c:pt idx="45">
                  <c:v>91.999999999999943</c:v>
                </c:pt>
                <c:pt idx="46">
                  <c:v>93.599999999999937</c:v>
                </c:pt>
                <c:pt idx="47">
                  <c:v>95.199999999999932</c:v>
                </c:pt>
                <c:pt idx="48">
                  <c:v>96.799999999999926</c:v>
                </c:pt>
                <c:pt idx="49">
                  <c:v>98.39999999999992</c:v>
                </c:pt>
                <c:pt idx="50">
                  <c:v>99.999999999999915</c:v>
                </c:pt>
                <c:pt idx="51">
                  <c:v>101.59999999999991</c:v>
                </c:pt>
                <c:pt idx="52">
                  <c:v>103.1999999999999</c:v>
                </c:pt>
                <c:pt idx="53">
                  <c:v>104.7999999999999</c:v>
                </c:pt>
                <c:pt idx="54">
                  <c:v>106.39999999999989</c:v>
                </c:pt>
                <c:pt idx="55">
                  <c:v>107.99999999999989</c:v>
                </c:pt>
                <c:pt idx="56">
                  <c:v>109.59999999999988</c:v>
                </c:pt>
                <c:pt idx="57">
                  <c:v>111.19999999999987</c:v>
                </c:pt>
                <c:pt idx="58">
                  <c:v>112.79999999999987</c:v>
                </c:pt>
                <c:pt idx="59">
                  <c:v>114.39999999999986</c:v>
                </c:pt>
                <c:pt idx="60">
                  <c:v>115.99999999999986</c:v>
                </c:pt>
                <c:pt idx="61">
                  <c:v>117.59999999999985</c:v>
                </c:pt>
                <c:pt idx="62">
                  <c:v>119.19999999999985</c:v>
                </c:pt>
                <c:pt idx="63">
                  <c:v>120.79999999999984</c:v>
                </c:pt>
                <c:pt idx="64">
                  <c:v>122.39999999999984</c:v>
                </c:pt>
                <c:pt idx="65">
                  <c:v>123.99999999999983</c:v>
                </c:pt>
                <c:pt idx="66">
                  <c:v>125.59999999999982</c:v>
                </c:pt>
                <c:pt idx="67">
                  <c:v>127.19999999999982</c:v>
                </c:pt>
                <c:pt idx="68">
                  <c:v>128.79999999999981</c:v>
                </c:pt>
                <c:pt idx="69">
                  <c:v>130.39999999999981</c:v>
                </c:pt>
                <c:pt idx="70">
                  <c:v>131.9999999999998</c:v>
                </c:pt>
                <c:pt idx="71">
                  <c:v>133.5999999999998</c:v>
                </c:pt>
                <c:pt idx="72">
                  <c:v>135.19999999999979</c:v>
                </c:pt>
                <c:pt idx="73">
                  <c:v>136.79999999999978</c:v>
                </c:pt>
                <c:pt idx="74">
                  <c:v>138.39999999999978</c:v>
                </c:pt>
                <c:pt idx="75">
                  <c:v>139.99999999999977</c:v>
                </c:pt>
                <c:pt idx="76">
                  <c:v>141.59999999999977</c:v>
                </c:pt>
                <c:pt idx="77">
                  <c:v>143.19999999999976</c:v>
                </c:pt>
                <c:pt idx="78">
                  <c:v>144.79999999999976</c:v>
                </c:pt>
                <c:pt idx="79">
                  <c:v>146.39999999999975</c:v>
                </c:pt>
                <c:pt idx="80">
                  <c:v>147.99999999999974</c:v>
                </c:pt>
                <c:pt idx="81">
                  <c:v>149.59999999999974</c:v>
                </c:pt>
                <c:pt idx="82">
                  <c:v>151.19999999999973</c:v>
                </c:pt>
                <c:pt idx="83">
                  <c:v>152.79999999999973</c:v>
                </c:pt>
                <c:pt idx="84">
                  <c:v>154.39999999999972</c:v>
                </c:pt>
                <c:pt idx="85">
                  <c:v>155.99999999999972</c:v>
                </c:pt>
                <c:pt idx="86">
                  <c:v>157.59999999999971</c:v>
                </c:pt>
                <c:pt idx="87">
                  <c:v>159.1999999999997</c:v>
                </c:pt>
                <c:pt idx="88">
                  <c:v>160.7999999999997</c:v>
                </c:pt>
                <c:pt idx="89">
                  <c:v>162.39999999999969</c:v>
                </c:pt>
                <c:pt idx="90">
                  <c:v>163.99999999999969</c:v>
                </c:pt>
                <c:pt idx="91">
                  <c:v>165.59999999999968</c:v>
                </c:pt>
                <c:pt idx="92">
                  <c:v>167.19999999999968</c:v>
                </c:pt>
                <c:pt idx="93">
                  <c:v>168.79999999999967</c:v>
                </c:pt>
                <c:pt idx="94">
                  <c:v>170.39999999999966</c:v>
                </c:pt>
                <c:pt idx="95">
                  <c:v>171.99999999999966</c:v>
                </c:pt>
                <c:pt idx="96">
                  <c:v>173.59999999999965</c:v>
                </c:pt>
                <c:pt idx="97">
                  <c:v>175.19999999999965</c:v>
                </c:pt>
                <c:pt idx="98">
                  <c:v>176.79999999999964</c:v>
                </c:pt>
                <c:pt idx="99">
                  <c:v>178.39999999999964</c:v>
                </c:pt>
                <c:pt idx="100">
                  <c:v>179.99999999999963</c:v>
                </c:pt>
                <c:pt idx="101">
                  <c:v>181.59999999999962</c:v>
                </c:pt>
              </c:numCache>
            </c:numRef>
          </c:xVal>
          <c:yVal>
            <c:numRef>
              <c:f>'Power consumption'!$T$4:$T$105</c:f>
              <c:numCache>
                <c:formatCode>General</c:formatCode>
                <c:ptCount val="102"/>
                <c:pt idx="0">
                  <c:v>1</c:v>
                </c:pt>
                <c:pt idx="1">
                  <c:v>0.94470619065180261</c:v>
                </c:pt>
                <c:pt idx="2">
                  <c:v>0.89225577446127879</c:v>
                </c:pt>
                <c:pt idx="3">
                  <c:v>0.84250196806982192</c:v>
                </c:pt>
                <c:pt idx="4">
                  <c:v>0.79530559096395625</c:v>
                </c:pt>
                <c:pt idx="5">
                  <c:v>0.75053467071780366</c:v>
                </c:pt>
                <c:pt idx="6">
                  <c:v>0.70806406878605066</c:v>
                </c:pt>
                <c:pt idx="7">
                  <c:v>0.66777512577633436</c:v>
                </c:pt>
                <c:pt idx="8">
                  <c:v>0.62955532518596036</c:v>
                </c:pt>
                <c:pt idx="9">
                  <c:v>0.59329797464102674</c:v>
                </c:pt>
                <c:pt idx="10">
                  <c:v>0.55890190372635551</c:v>
                </c:pt>
                <c:pt idx="11">
                  <c:v>0.52627117754241881</c:v>
                </c:pt>
                <c:pt idx="12">
                  <c:v>0.49531482517067676</c:v>
                </c:pt>
                <c:pt idx="13">
                  <c:v>0.46594658227175151</c:v>
                </c:pt>
                <c:pt idx="14">
                  <c:v>0.43808464708153816</c:v>
                </c:pt>
                <c:pt idx="15">
                  <c:v>0.41165144910901952</c:v>
                </c:pt>
                <c:pt idx="16">
                  <c:v>0.38657342987627696</c:v>
                </c:pt>
                <c:pt idx="17">
                  <c:v>0.36278083507597125</c:v>
                </c:pt>
                <c:pt idx="18">
                  <c:v>0.34020751755473588</c:v>
                </c:pt>
                <c:pt idx="19">
                  <c:v>0.31879075056238915</c:v>
                </c:pt>
                <c:pt idx="20">
                  <c:v>0.29847105073688152</c:v>
                </c:pt>
                <c:pt idx="21">
                  <c:v>0.27919201032349611</c:v>
                </c:pt>
                <c:pt idx="22">
                  <c:v>0.26090013815418472</c:v>
                </c:pt>
                <c:pt idx="23">
                  <c:v>0.24354470893914343</c:v>
                </c:pt>
                <c:pt idx="24">
                  <c:v>0.22707762044799029</c:v>
                </c:pt>
                <c:pt idx="25">
                  <c:v>0.21145325818237623</c:v>
                </c:pt>
                <c:pt idx="26">
                  <c:v>0.19662836716573526</c:v>
                </c:pt>
                <c:pt idx="27">
                  <c:v>0.18256193049945157</c:v>
                </c:pt>
                <c:pt idx="28">
                  <c:v>0.16921505435832301</c:v>
                </c:pt>
                <c:pt idx="29">
                  <c:v>0.15655085912230421</c:v>
                </c:pt>
                <c:pt idx="30">
                  <c:v>0.14453437636677866</c:v>
                </c:pt>
                <c:pt idx="31">
                  <c:v>0.13313245146093838</c:v>
                </c:pt>
                <c:pt idx="32">
                  <c:v>0.12231365155462917</c:v>
                </c:pt>
                <c:pt idx="33">
                  <c:v>0.11204817877023643</c:v>
                </c:pt>
                <c:pt idx="34">
                  <c:v>0.10230778846098522</c:v>
                </c:pt>
                <c:pt idx="35">
                  <c:v>9.3065712455261768E-2</c:v>
                </c:pt>
                <c:pt idx="36">
                  <c:v>8.4296587286152136E-2</c:v>
                </c:pt>
                <c:pt idx="37">
                  <c:v>7.5976387519425273E-2</c:v>
                </c:pt>
                <c:pt idx="38">
                  <c:v>6.8082364464114822E-2</c:v>
                </c:pt>
                <c:pt idx="39">
                  <c:v>6.0592990817502752E-2</c:v>
                </c:pt>
                <c:pt idx="40">
                  <c:v>5.34879122341324E-2</c:v>
                </c:pt>
                <c:pt idx="41">
                  <c:v>4.6747907558312103E-2</c:v>
                </c:pt>
                <c:pt idx="42">
                  <c:v>4.0354860810116203E-2</c:v>
                </c:pt>
                <c:pt idx="43">
                  <c:v>3.4291750592007494E-2</c:v>
                </c:pt>
                <c:pt idx="44">
                  <c:v>2.8542667850994713E-2</c:v>
                </c:pt>
                <c:pt idx="45">
                  <c:v>2.3092884654615752E-2</c:v>
                </c:pt>
                <c:pt idx="46">
                  <c:v>1.7929025749887483E-2</c:v>
                </c:pt>
                <c:pt idx="47">
                  <c:v>1.3039478561259879E-2</c:v>
                </c:pt>
                <c:pt idx="48">
                  <c:v>8.4154782289077648E-3</c:v>
                </c:pt>
                <c:pt idx="49">
                  <c:v>4.054876267159971E-3</c:v>
                </c:pt>
                <c:pt idx="50">
                  <c:v>1.2769844935951576E-16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08384"/>
        <c:axId val="117348608"/>
      </c:scatterChart>
      <c:valAx>
        <c:axId val="111008384"/>
        <c:scaling>
          <c:orientation val="minMax"/>
          <c:max val="1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Watts</a:t>
                </a:r>
              </a:p>
            </c:rich>
          </c:tx>
          <c:layout>
            <c:manualLayout>
              <c:xMode val="edge"/>
              <c:yMode val="edge"/>
              <c:x val="0.36863299327403082"/>
              <c:y val="0.91161759219598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7348608"/>
        <c:crosses val="autoZero"/>
        <c:crossBetween val="midCat"/>
      </c:valAx>
      <c:valAx>
        <c:axId val="1173486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008384"/>
        <c:crossesAt val="-200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Weight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Weight!$A$2:$A$12</c:f>
              <c:numCache>
                <c:formatCode>General</c:formatCode>
                <c:ptCount val="11"/>
                <c:pt idx="0">
                  <c:v>70</c:v>
                </c:pt>
                <c:pt idx="1">
                  <c:v>45</c:v>
                </c:pt>
                <c:pt idx="2">
                  <c:v>30</c:v>
                </c:pt>
                <c:pt idx="3">
                  <c:v>24</c:v>
                </c:pt>
                <c:pt idx="4">
                  <c:v>18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</c:numCache>
            </c:numRef>
          </c:xVal>
          <c:yVal>
            <c:numRef>
              <c:f>Weight!$B$2:$B$12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Weight!$S$4:$S$105</c:f>
              <c:numCache>
                <c:formatCode>General</c:formatCode>
                <c:ptCount val="102"/>
                <c:pt idx="0">
                  <c:v>3</c:v>
                </c:pt>
                <c:pt idx="1">
                  <c:v>4.34</c:v>
                </c:pt>
                <c:pt idx="2">
                  <c:v>5.68</c:v>
                </c:pt>
                <c:pt idx="3">
                  <c:v>7.02</c:v>
                </c:pt>
                <c:pt idx="4">
                  <c:v>8.36</c:v>
                </c:pt>
                <c:pt idx="5">
                  <c:v>9.6999999999999993</c:v>
                </c:pt>
                <c:pt idx="6">
                  <c:v>11.04</c:v>
                </c:pt>
                <c:pt idx="7">
                  <c:v>12.379999999999999</c:v>
                </c:pt>
                <c:pt idx="8">
                  <c:v>13.719999999999999</c:v>
                </c:pt>
                <c:pt idx="9">
                  <c:v>15.059999999999999</c:v>
                </c:pt>
                <c:pt idx="10">
                  <c:v>16.399999999999999</c:v>
                </c:pt>
                <c:pt idx="11">
                  <c:v>17.739999999999998</c:v>
                </c:pt>
                <c:pt idx="12">
                  <c:v>19.079999999999998</c:v>
                </c:pt>
                <c:pt idx="13">
                  <c:v>20.419999999999998</c:v>
                </c:pt>
                <c:pt idx="14">
                  <c:v>21.759999999999998</c:v>
                </c:pt>
                <c:pt idx="15">
                  <c:v>23.099999999999998</c:v>
                </c:pt>
                <c:pt idx="16">
                  <c:v>24.439999999999998</c:v>
                </c:pt>
                <c:pt idx="17">
                  <c:v>25.779999999999998</c:v>
                </c:pt>
                <c:pt idx="18">
                  <c:v>27.119999999999997</c:v>
                </c:pt>
                <c:pt idx="19">
                  <c:v>28.459999999999997</c:v>
                </c:pt>
                <c:pt idx="20">
                  <c:v>29.799999999999997</c:v>
                </c:pt>
                <c:pt idx="21">
                  <c:v>31.139999999999997</c:v>
                </c:pt>
                <c:pt idx="22">
                  <c:v>32.479999999999997</c:v>
                </c:pt>
                <c:pt idx="23">
                  <c:v>33.82</c:v>
                </c:pt>
                <c:pt idx="24">
                  <c:v>35.160000000000004</c:v>
                </c:pt>
                <c:pt idx="25">
                  <c:v>36.500000000000007</c:v>
                </c:pt>
                <c:pt idx="26">
                  <c:v>37.840000000000011</c:v>
                </c:pt>
                <c:pt idx="27">
                  <c:v>39.180000000000014</c:v>
                </c:pt>
                <c:pt idx="28">
                  <c:v>40.520000000000017</c:v>
                </c:pt>
                <c:pt idx="29">
                  <c:v>41.860000000000021</c:v>
                </c:pt>
                <c:pt idx="30">
                  <c:v>43.200000000000024</c:v>
                </c:pt>
                <c:pt idx="31">
                  <c:v>44.540000000000028</c:v>
                </c:pt>
                <c:pt idx="32">
                  <c:v>45.880000000000031</c:v>
                </c:pt>
                <c:pt idx="33">
                  <c:v>47.220000000000034</c:v>
                </c:pt>
                <c:pt idx="34">
                  <c:v>48.560000000000038</c:v>
                </c:pt>
                <c:pt idx="35">
                  <c:v>49.900000000000041</c:v>
                </c:pt>
                <c:pt idx="36">
                  <c:v>51.240000000000045</c:v>
                </c:pt>
                <c:pt idx="37">
                  <c:v>52.580000000000048</c:v>
                </c:pt>
                <c:pt idx="38">
                  <c:v>53.920000000000051</c:v>
                </c:pt>
                <c:pt idx="39">
                  <c:v>55.260000000000055</c:v>
                </c:pt>
                <c:pt idx="40">
                  <c:v>56.600000000000058</c:v>
                </c:pt>
                <c:pt idx="41">
                  <c:v>57.940000000000062</c:v>
                </c:pt>
                <c:pt idx="42">
                  <c:v>59.280000000000065</c:v>
                </c:pt>
                <c:pt idx="43">
                  <c:v>60.620000000000068</c:v>
                </c:pt>
                <c:pt idx="44">
                  <c:v>61.960000000000072</c:v>
                </c:pt>
                <c:pt idx="45">
                  <c:v>63.300000000000075</c:v>
                </c:pt>
                <c:pt idx="46">
                  <c:v>64.640000000000072</c:v>
                </c:pt>
                <c:pt idx="47">
                  <c:v>65.980000000000075</c:v>
                </c:pt>
                <c:pt idx="48">
                  <c:v>67.320000000000078</c:v>
                </c:pt>
                <c:pt idx="49">
                  <c:v>68.660000000000082</c:v>
                </c:pt>
                <c:pt idx="50">
                  <c:v>70.000000000000085</c:v>
                </c:pt>
                <c:pt idx="51">
                  <c:v>71.340000000000089</c:v>
                </c:pt>
                <c:pt idx="52">
                  <c:v>72.680000000000092</c:v>
                </c:pt>
                <c:pt idx="53">
                  <c:v>74.020000000000095</c:v>
                </c:pt>
                <c:pt idx="54">
                  <c:v>75.360000000000099</c:v>
                </c:pt>
                <c:pt idx="55">
                  <c:v>76.700000000000102</c:v>
                </c:pt>
                <c:pt idx="56">
                  <c:v>78.040000000000106</c:v>
                </c:pt>
                <c:pt idx="57">
                  <c:v>79.380000000000109</c:v>
                </c:pt>
                <c:pt idx="58">
                  <c:v>80.720000000000113</c:v>
                </c:pt>
                <c:pt idx="59">
                  <c:v>82.060000000000116</c:v>
                </c:pt>
                <c:pt idx="60">
                  <c:v>83.400000000000119</c:v>
                </c:pt>
                <c:pt idx="61">
                  <c:v>84.740000000000123</c:v>
                </c:pt>
                <c:pt idx="62">
                  <c:v>86.080000000000126</c:v>
                </c:pt>
                <c:pt idx="63">
                  <c:v>87.42000000000013</c:v>
                </c:pt>
                <c:pt idx="64">
                  <c:v>88.760000000000133</c:v>
                </c:pt>
                <c:pt idx="65">
                  <c:v>90.100000000000136</c:v>
                </c:pt>
                <c:pt idx="66">
                  <c:v>91.44000000000014</c:v>
                </c:pt>
                <c:pt idx="67">
                  <c:v>92.780000000000143</c:v>
                </c:pt>
                <c:pt idx="68">
                  <c:v>94.120000000000147</c:v>
                </c:pt>
                <c:pt idx="69">
                  <c:v>95.46000000000015</c:v>
                </c:pt>
                <c:pt idx="70">
                  <c:v>96.800000000000153</c:v>
                </c:pt>
                <c:pt idx="71">
                  <c:v>98.140000000000157</c:v>
                </c:pt>
                <c:pt idx="72">
                  <c:v>99.48000000000016</c:v>
                </c:pt>
                <c:pt idx="73">
                  <c:v>100.82000000000016</c:v>
                </c:pt>
                <c:pt idx="74">
                  <c:v>102.16000000000017</c:v>
                </c:pt>
                <c:pt idx="75">
                  <c:v>103.50000000000017</c:v>
                </c:pt>
                <c:pt idx="76">
                  <c:v>104.84000000000017</c:v>
                </c:pt>
                <c:pt idx="77">
                  <c:v>106.18000000000018</c:v>
                </c:pt>
                <c:pt idx="78">
                  <c:v>107.52000000000018</c:v>
                </c:pt>
                <c:pt idx="79">
                  <c:v>108.86000000000018</c:v>
                </c:pt>
                <c:pt idx="80">
                  <c:v>110.20000000000019</c:v>
                </c:pt>
                <c:pt idx="81">
                  <c:v>111.54000000000019</c:v>
                </c:pt>
                <c:pt idx="82">
                  <c:v>112.88000000000019</c:v>
                </c:pt>
                <c:pt idx="83">
                  <c:v>114.2200000000002</c:v>
                </c:pt>
                <c:pt idx="84">
                  <c:v>115.5600000000002</c:v>
                </c:pt>
                <c:pt idx="85">
                  <c:v>116.9000000000002</c:v>
                </c:pt>
                <c:pt idx="86">
                  <c:v>118.24000000000021</c:v>
                </c:pt>
                <c:pt idx="87">
                  <c:v>119.58000000000021</c:v>
                </c:pt>
                <c:pt idx="88">
                  <c:v>120.92000000000021</c:v>
                </c:pt>
                <c:pt idx="89">
                  <c:v>122.26000000000022</c:v>
                </c:pt>
                <c:pt idx="90">
                  <c:v>123.60000000000022</c:v>
                </c:pt>
                <c:pt idx="91">
                  <c:v>124.94000000000023</c:v>
                </c:pt>
                <c:pt idx="92">
                  <c:v>126.28000000000023</c:v>
                </c:pt>
                <c:pt idx="93">
                  <c:v>127.62000000000023</c:v>
                </c:pt>
                <c:pt idx="94">
                  <c:v>128.96000000000024</c:v>
                </c:pt>
                <c:pt idx="95">
                  <c:v>130.30000000000024</c:v>
                </c:pt>
                <c:pt idx="96">
                  <c:v>131.64000000000024</c:v>
                </c:pt>
                <c:pt idx="97">
                  <c:v>132.98000000000025</c:v>
                </c:pt>
                <c:pt idx="98">
                  <c:v>134.32000000000025</c:v>
                </c:pt>
                <c:pt idx="99">
                  <c:v>135.66000000000025</c:v>
                </c:pt>
                <c:pt idx="100">
                  <c:v>137.00000000000026</c:v>
                </c:pt>
                <c:pt idx="101">
                  <c:v>138.34000000000026</c:v>
                </c:pt>
              </c:numCache>
            </c:numRef>
          </c:xVal>
          <c:yVal>
            <c:numRef>
              <c:f>Weight!$T$4:$T$105</c:f>
              <c:numCache>
                <c:formatCode>General</c:formatCode>
                <c:ptCount val="102"/>
                <c:pt idx="0">
                  <c:v>1</c:v>
                </c:pt>
                <c:pt idx="1">
                  <c:v>0.95668012092850263</c:v>
                </c:pt>
                <c:pt idx="2">
                  <c:v>0.91493820043664553</c:v>
                </c:pt>
                <c:pt idx="3">
                  <c:v>0.87471849955171699</c:v>
                </c:pt>
                <c:pt idx="4">
                  <c:v>0.83596718682051463</c:v>
                </c:pt>
                <c:pt idx="5">
                  <c:v>0.79863227380404112</c:v>
                </c:pt>
                <c:pt idx="6">
                  <c:v>0.76266355265457952</c:v>
                </c:pt>
                <c:pt idx="7">
                  <c:v>0.72801253570212987</c:v>
                </c:pt>
                <c:pt idx="8">
                  <c:v>0.69463239697875112</c:v>
                </c:pt>
                <c:pt idx="9">
                  <c:v>0.66247791561065816</c:v>
                </c:pt>
                <c:pt idx="10">
                  <c:v>0.63150542100903706</c:v>
                </c:pt>
                <c:pt idx="11">
                  <c:v>0.60167273979144364</c:v>
                </c:pt>
                <c:pt idx="12">
                  <c:v>0.57293914436620763</c:v>
                </c:pt>
                <c:pt idx="13">
                  <c:v>0.54526530311254973</c:v>
                </c:pt>
                <c:pt idx="14">
                  <c:v>0.51861323208899213</c:v>
                </c:pt>
                <c:pt idx="15">
                  <c:v>0.49294624820205374</c:v>
                </c:pt>
                <c:pt idx="16">
                  <c:v>0.46822892376607617</c:v>
                </c:pt>
                <c:pt idx="17">
                  <c:v>0.44442704238319336</c:v>
                </c:pt>
                <c:pt idx="18">
                  <c:v>0.42150755606977752</c:v>
                </c:pt>
                <c:pt idx="19">
                  <c:v>0.39943854355196251</c:v>
                </c:pt>
                <c:pt idx="20">
                  <c:v>0.37818916964777777</c:v>
                </c:pt>
                <c:pt idx="21">
                  <c:v>0.35772964564666138</c:v>
                </c:pt>
                <c:pt idx="22">
                  <c:v>0.33803119058820058</c:v>
                </c:pt>
                <c:pt idx="23">
                  <c:v>0.31906599333018143</c:v>
                </c:pt>
                <c:pt idx="24">
                  <c:v>0.30080717528061868</c:v>
                </c:pt>
                <c:pt idx="25">
                  <c:v>0.28322875364810018</c:v>
                </c:pt>
                <c:pt idx="26">
                  <c:v>0.26630560503798228</c:v>
                </c:pt>
                <c:pt idx="27">
                  <c:v>0.25001342918634534</c:v>
                </c:pt>
                <c:pt idx="28">
                  <c:v>0.23432871257600224</c:v>
                </c:pt>
                <c:pt idx="29">
                  <c:v>0.2192286916146006</c:v>
                </c:pt>
                <c:pt idx="30">
                  <c:v>0.20469131496731932</c:v>
                </c:pt>
                <c:pt idx="31">
                  <c:v>0.19069520451599564</c:v>
                </c:pt>
                <c:pt idx="32">
                  <c:v>0.17721961424800878</c:v>
                </c:pt>
                <c:pt idx="33">
                  <c:v>0.16424438613946163</c:v>
                </c:pt>
                <c:pt idx="34">
                  <c:v>0.1517499017532562</c:v>
                </c:pt>
                <c:pt idx="35">
                  <c:v>0.13971702776807346</c:v>
                </c:pt>
                <c:pt idx="36">
                  <c:v>0.12812705289866863</c:v>
                </c:pt>
                <c:pt idx="37">
                  <c:v>0.11696161250992748</c:v>
                </c:pt>
                <c:pt idx="38">
                  <c:v>0.10620259540549719</c:v>
                </c:pt>
                <c:pt idx="39">
                  <c:v>9.5832024319305611E-2</c:v>
                </c:pt>
                <c:pt idx="40">
                  <c:v>8.5831896685815048E-2</c:v>
                </c:pt>
                <c:pt idx="41">
                  <c:v>7.6183963619488648E-2</c:v>
                </c:pt>
                <c:pt idx="42">
                  <c:v>6.6869409215856906E-2</c:v>
                </c:pt>
                <c:pt idx="43">
                  <c:v>5.7868361670353037E-2</c:v>
                </c:pt>
                <c:pt idx="44">
                  <c:v>4.9159104239892962E-2</c:v>
                </c:pt>
                <c:pt idx="45">
                  <c:v>4.0716710661988398E-2</c:v>
                </c:pt>
                <c:pt idx="46">
                  <c:v>3.2510467331390465E-2</c:v>
                </c:pt>
                <c:pt idx="47">
                  <c:v>2.4498378527136624E-2</c:v>
                </c:pt>
                <c:pt idx="48">
                  <c:v>1.6613122827032773E-2</c:v>
                </c:pt>
                <c:pt idx="49">
                  <c:v>8.7124871408751515E-3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91296"/>
        <c:axId val="118004736"/>
      </c:scatterChart>
      <c:valAx>
        <c:axId val="117991296"/>
        <c:scaling>
          <c:orientation val="minMax"/>
          <c:max val="1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Pounds</a:t>
                </a:r>
              </a:p>
            </c:rich>
          </c:tx>
          <c:layout>
            <c:manualLayout>
              <c:xMode val="edge"/>
              <c:yMode val="edge"/>
              <c:x val="0.36863299327403082"/>
              <c:y val="0.91161759219598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8004736"/>
        <c:crosses val="autoZero"/>
        <c:crossBetween val="midCat"/>
      </c:valAx>
      <c:valAx>
        <c:axId val="1180047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991296"/>
        <c:crossesAt val="-200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Technology maturity level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'Technology maturity'!$A$2:$A$12</c:f>
              <c:numCache>
                <c:formatCode>General</c:formatCode>
                <c:ptCount val="11"/>
                <c:pt idx="0">
                  <c:v>-2</c:v>
                </c:pt>
                <c:pt idx="1">
                  <c:v>-0.59999999999999987</c:v>
                </c:pt>
                <c:pt idx="2">
                  <c:v>0.80000000000000027</c:v>
                </c:pt>
                <c:pt idx="3">
                  <c:v>1.5</c:v>
                </c:pt>
                <c:pt idx="4">
                  <c:v>2.2000000000000002</c:v>
                </c:pt>
                <c:pt idx="5">
                  <c:v>2.8999999999999995</c:v>
                </c:pt>
                <c:pt idx="6">
                  <c:v>3.6000000000000005</c:v>
                </c:pt>
                <c:pt idx="7">
                  <c:v>3.95</c:v>
                </c:pt>
                <c:pt idx="8">
                  <c:v>4.3</c:v>
                </c:pt>
                <c:pt idx="9">
                  <c:v>4.6499999999999995</c:v>
                </c:pt>
                <c:pt idx="10">
                  <c:v>5</c:v>
                </c:pt>
              </c:numCache>
            </c:numRef>
          </c:xVal>
          <c:yVal>
            <c:numRef>
              <c:f>'Technology maturity'!$B$2:$B$12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'Technology maturity'!$S$4:$S$105</c:f>
              <c:numCache>
                <c:formatCode>General</c:formatCode>
                <c:ptCount val="102"/>
                <c:pt idx="0">
                  <c:v>-2</c:v>
                </c:pt>
                <c:pt idx="1">
                  <c:v>-1.8599999999999999</c:v>
                </c:pt>
                <c:pt idx="2">
                  <c:v>-1.7199999999999998</c:v>
                </c:pt>
                <c:pt idx="3">
                  <c:v>-1.5799999999999996</c:v>
                </c:pt>
                <c:pt idx="4">
                  <c:v>-1.4399999999999995</c:v>
                </c:pt>
                <c:pt idx="5">
                  <c:v>-1.2999999999999994</c:v>
                </c:pt>
                <c:pt idx="6">
                  <c:v>-1.1599999999999993</c:v>
                </c:pt>
                <c:pt idx="7">
                  <c:v>-1.0199999999999991</c:v>
                </c:pt>
                <c:pt idx="8">
                  <c:v>-0.87999999999999912</c:v>
                </c:pt>
                <c:pt idx="9">
                  <c:v>-0.7399999999999991</c:v>
                </c:pt>
                <c:pt idx="10">
                  <c:v>-0.59999999999999909</c:v>
                </c:pt>
                <c:pt idx="11">
                  <c:v>-0.45999999999999908</c:v>
                </c:pt>
                <c:pt idx="12">
                  <c:v>-0.31999999999999906</c:v>
                </c:pt>
                <c:pt idx="13">
                  <c:v>-0.17999999999999905</c:v>
                </c:pt>
                <c:pt idx="14">
                  <c:v>-3.9999999999999036E-2</c:v>
                </c:pt>
                <c:pt idx="15">
                  <c:v>0.10000000000000098</c:v>
                </c:pt>
                <c:pt idx="16">
                  <c:v>0.24000000000000099</c:v>
                </c:pt>
                <c:pt idx="17">
                  <c:v>0.380000000000001</c:v>
                </c:pt>
                <c:pt idx="18">
                  <c:v>0.52000000000000102</c:v>
                </c:pt>
                <c:pt idx="19">
                  <c:v>0.66000000000000103</c:v>
                </c:pt>
                <c:pt idx="20">
                  <c:v>0.80000000000000104</c:v>
                </c:pt>
                <c:pt idx="21">
                  <c:v>0.94000000000000106</c:v>
                </c:pt>
                <c:pt idx="22">
                  <c:v>1.080000000000001</c:v>
                </c:pt>
                <c:pt idx="23">
                  <c:v>1.2200000000000011</c:v>
                </c:pt>
                <c:pt idx="24">
                  <c:v>1.3600000000000012</c:v>
                </c:pt>
                <c:pt idx="25">
                  <c:v>1.5000000000000013</c:v>
                </c:pt>
                <c:pt idx="26">
                  <c:v>1.6400000000000015</c:v>
                </c:pt>
                <c:pt idx="27">
                  <c:v>1.7800000000000016</c:v>
                </c:pt>
                <c:pt idx="28">
                  <c:v>1.9200000000000017</c:v>
                </c:pt>
                <c:pt idx="29">
                  <c:v>2.0600000000000018</c:v>
                </c:pt>
                <c:pt idx="30">
                  <c:v>2.200000000000002</c:v>
                </c:pt>
                <c:pt idx="31">
                  <c:v>2.3400000000000021</c:v>
                </c:pt>
                <c:pt idx="32">
                  <c:v>2.4800000000000022</c:v>
                </c:pt>
                <c:pt idx="33">
                  <c:v>2.6200000000000023</c:v>
                </c:pt>
                <c:pt idx="34">
                  <c:v>2.7600000000000025</c:v>
                </c:pt>
                <c:pt idx="35">
                  <c:v>2.9000000000000026</c:v>
                </c:pt>
                <c:pt idx="36">
                  <c:v>3.0400000000000027</c:v>
                </c:pt>
                <c:pt idx="37">
                  <c:v>3.1800000000000028</c:v>
                </c:pt>
                <c:pt idx="38">
                  <c:v>3.3200000000000029</c:v>
                </c:pt>
                <c:pt idx="39">
                  <c:v>3.4600000000000031</c:v>
                </c:pt>
                <c:pt idx="40">
                  <c:v>3.6000000000000032</c:v>
                </c:pt>
                <c:pt idx="41">
                  <c:v>3.7400000000000033</c:v>
                </c:pt>
                <c:pt idx="42">
                  <c:v>3.8800000000000034</c:v>
                </c:pt>
                <c:pt idx="43">
                  <c:v>4.0200000000000031</c:v>
                </c:pt>
                <c:pt idx="44">
                  <c:v>4.1600000000000028</c:v>
                </c:pt>
                <c:pt idx="45">
                  <c:v>4.3000000000000025</c:v>
                </c:pt>
                <c:pt idx="46">
                  <c:v>4.4400000000000022</c:v>
                </c:pt>
                <c:pt idx="47">
                  <c:v>4.5800000000000018</c:v>
                </c:pt>
                <c:pt idx="48">
                  <c:v>4.7200000000000015</c:v>
                </c:pt>
                <c:pt idx="49">
                  <c:v>4.8600000000000012</c:v>
                </c:pt>
                <c:pt idx="50">
                  <c:v>5.0000000000000009</c:v>
                </c:pt>
                <c:pt idx="51">
                  <c:v>5.1400000000000006</c:v>
                </c:pt>
                <c:pt idx="52">
                  <c:v>5.28</c:v>
                </c:pt>
                <c:pt idx="53">
                  <c:v>5.42</c:v>
                </c:pt>
                <c:pt idx="54">
                  <c:v>5.56</c:v>
                </c:pt>
                <c:pt idx="55">
                  <c:v>5.6999999999999993</c:v>
                </c:pt>
                <c:pt idx="56">
                  <c:v>5.839999999999999</c:v>
                </c:pt>
                <c:pt idx="57">
                  <c:v>5.9799999999999986</c:v>
                </c:pt>
                <c:pt idx="58">
                  <c:v>6.1199999999999983</c:v>
                </c:pt>
                <c:pt idx="59">
                  <c:v>6.259999999999998</c:v>
                </c:pt>
                <c:pt idx="60">
                  <c:v>6.3999999999999977</c:v>
                </c:pt>
                <c:pt idx="61">
                  <c:v>6.5399999999999974</c:v>
                </c:pt>
                <c:pt idx="62">
                  <c:v>6.6799999999999971</c:v>
                </c:pt>
                <c:pt idx="63">
                  <c:v>6.8199999999999967</c:v>
                </c:pt>
                <c:pt idx="64">
                  <c:v>6.9599999999999964</c:v>
                </c:pt>
                <c:pt idx="65">
                  <c:v>7.0999999999999961</c:v>
                </c:pt>
                <c:pt idx="66">
                  <c:v>7.2399999999999958</c:v>
                </c:pt>
                <c:pt idx="67">
                  <c:v>7.3799999999999955</c:v>
                </c:pt>
                <c:pt idx="68">
                  <c:v>7.5199999999999951</c:v>
                </c:pt>
                <c:pt idx="69">
                  <c:v>7.6599999999999948</c:v>
                </c:pt>
                <c:pt idx="70">
                  <c:v>7.7999999999999945</c:v>
                </c:pt>
                <c:pt idx="71">
                  <c:v>7.9399999999999942</c:v>
                </c:pt>
                <c:pt idx="72">
                  <c:v>8.0799999999999947</c:v>
                </c:pt>
                <c:pt idx="73">
                  <c:v>8.2199999999999953</c:v>
                </c:pt>
                <c:pt idx="74">
                  <c:v>8.3599999999999959</c:v>
                </c:pt>
                <c:pt idx="75">
                  <c:v>8.4999999999999964</c:v>
                </c:pt>
                <c:pt idx="76">
                  <c:v>8.639999999999997</c:v>
                </c:pt>
                <c:pt idx="77">
                  <c:v>8.7799999999999976</c:v>
                </c:pt>
                <c:pt idx="78">
                  <c:v>8.9199999999999982</c:v>
                </c:pt>
                <c:pt idx="79">
                  <c:v>9.0599999999999987</c:v>
                </c:pt>
                <c:pt idx="80">
                  <c:v>9.1999999999999993</c:v>
                </c:pt>
                <c:pt idx="81">
                  <c:v>9.34</c:v>
                </c:pt>
                <c:pt idx="82">
                  <c:v>9.48</c:v>
                </c:pt>
                <c:pt idx="83">
                  <c:v>9.620000000000001</c:v>
                </c:pt>
                <c:pt idx="84">
                  <c:v>9.7600000000000016</c:v>
                </c:pt>
                <c:pt idx="85">
                  <c:v>9.9000000000000021</c:v>
                </c:pt>
                <c:pt idx="86">
                  <c:v>10.040000000000003</c:v>
                </c:pt>
                <c:pt idx="87">
                  <c:v>10.180000000000003</c:v>
                </c:pt>
                <c:pt idx="88">
                  <c:v>10.320000000000004</c:v>
                </c:pt>
                <c:pt idx="89">
                  <c:v>10.460000000000004</c:v>
                </c:pt>
                <c:pt idx="90">
                  <c:v>10.600000000000005</c:v>
                </c:pt>
                <c:pt idx="91">
                  <c:v>10.740000000000006</c:v>
                </c:pt>
                <c:pt idx="92">
                  <c:v>10.880000000000006</c:v>
                </c:pt>
                <c:pt idx="93">
                  <c:v>11.020000000000007</c:v>
                </c:pt>
                <c:pt idx="94">
                  <c:v>11.160000000000007</c:v>
                </c:pt>
                <c:pt idx="95">
                  <c:v>11.300000000000008</c:v>
                </c:pt>
                <c:pt idx="96">
                  <c:v>11.440000000000008</c:v>
                </c:pt>
                <c:pt idx="97">
                  <c:v>11.580000000000009</c:v>
                </c:pt>
                <c:pt idx="98">
                  <c:v>11.72000000000001</c:v>
                </c:pt>
                <c:pt idx="99">
                  <c:v>11.86000000000001</c:v>
                </c:pt>
                <c:pt idx="100">
                  <c:v>12.000000000000011</c:v>
                </c:pt>
                <c:pt idx="101">
                  <c:v>12.140000000000011</c:v>
                </c:pt>
              </c:numCache>
            </c:numRef>
          </c:xVal>
          <c:yVal>
            <c:numRef>
              <c:f>'Technology maturity'!$T$4:$T$105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2.0000000761295815E-2</c:v>
                </c:pt>
                <c:pt idx="2">
                  <c:v>4.000000152259163E-2</c:v>
                </c:pt>
                <c:pt idx="3">
                  <c:v>6.0000002283887445E-2</c:v>
                </c:pt>
                <c:pt idx="4">
                  <c:v>8.000000304518326E-2</c:v>
                </c:pt>
                <c:pt idx="5">
                  <c:v>0.10000000380647907</c:v>
                </c:pt>
                <c:pt idx="6">
                  <c:v>0.12000000298174193</c:v>
                </c:pt>
                <c:pt idx="7">
                  <c:v>0.14000000374303775</c:v>
                </c:pt>
                <c:pt idx="8">
                  <c:v>0.16000000450433358</c:v>
                </c:pt>
                <c:pt idx="9">
                  <c:v>0.18000000526562937</c:v>
                </c:pt>
                <c:pt idx="10">
                  <c:v>0.20000000602692519</c:v>
                </c:pt>
                <c:pt idx="11">
                  <c:v>0.22000000520218807</c:v>
                </c:pt>
                <c:pt idx="12">
                  <c:v>0.24000000596348386</c:v>
                </c:pt>
                <c:pt idx="13">
                  <c:v>0.26000000672477969</c:v>
                </c:pt>
                <c:pt idx="14">
                  <c:v>0.28000000748607551</c:v>
                </c:pt>
                <c:pt idx="15">
                  <c:v>0.30000000666133836</c:v>
                </c:pt>
                <c:pt idx="16">
                  <c:v>0.32000000742263418</c:v>
                </c:pt>
                <c:pt idx="17">
                  <c:v>0.34000000818393</c:v>
                </c:pt>
                <c:pt idx="18">
                  <c:v>0.36000000735919285</c:v>
                </c:pt>
                <c:pt idx="19">
                  <c:v>0.38000000812048867</c:v>
                </c:pt>
                <c:pt idx="20">
                  <c:v>0.4000000088817845</c:v>
                </c:pt>
                <c:pt idx="21">
                  <c:v>0.42000000805704735</c:v>
                </c:pt>
                <c:pt idx="22">
                  <c:v>0.44000000881834317</c:v>
                </c:pt>
                <c:pt idx="23">
                  <c:v>0.46000000799360602</c:v>
                </c:pt>
                <c:pt idx="24">
                  <c:v>0.48000000875490184</c:v>
                </c:pt>
                <c:pt idx="25">
                  <c:v>0.50000000793016475</c:v>
                </c:pt>
                <c:pt idx="26">
                  <c:v>0.52000000869146057</c:v>
                </c:pt>
                <c:pt idx="27">
                  <c:v>0.54000000786672342</c:v>
                </c:pt>
                <c:pt idx="28">
                  <c:v>0.56000000862801924</c:v>
                </c:pt>
                <c:pt idx="29">
                  <c:v>0.58000000780328209</c:v>
                </c:pt>
                <c:pt idx="30">
                  <c:v>0.60000000856457791</c:v>
                </c:pt>
                <c:pt idx="31">
                  <c:v>0.62000000773984076</c:v>
                </c:pt>
                <c:pt idx="32">
                  <c:v>0.64000000850113659</c:v>
                </c:pt>
                <c:pt idx="33">
                  <c:v>0.66000000767639944</c:v>
                </c:pt>
                <c:pt idx="34">
                  <c:v>0.68000000685166229</c:v>
                </c:pt>
                <c:pt idx="35">
                  <c:v>0.70000000761295811</c:v>
                </c:pt>
                <c:pt idx="36">
                  <c:v>0.72000000678822096</c:v>
                </c:pt>
                <c:pt idx="37">
                  <c:v>0.74000000596348381</c:v>
                </c:pt>
                <c:pt idx="38">
                  <c:v>0.76000000672477963</c:v>
                </c:pt>
                <c:pt idx="39">
                  <c:v>0.78000000590004259</c:v>
                </c:pt>
                <c:pt idx="40">
                  <c:v>0.80000000507530544</c:v>
                </c:pt>
                <c:pt idx="41">
                  <c:v>0.82000000425056829</c:v>
                </c:pt>
                <c:pt idx="42">
                  <c:v>0.84000000501186411</c:v>
                </c:pt>
                <c:pt idx="43">
                  <c:v>0.86000000418712697</c:v>
                </c:pt>
                <c:pt idx="44">
                  <c:v>0.88000000336238982</c:v>
                </c:pt>
                <c:pt idx="45">
                  <c:v>0.90000000253765267</c:v>
                </c:pt>
                <c:pt idx="46">
                  <c:v>0.92000000171291552</c:v>
                </c:pt>
                <c:pt idx="47">
                  <c:v>0.94000000088817848</c:v>
                </c:pt>
                <c:pt idx="48">
                  <c:v>0.96000000164947419</c:v>
                </c:pt>
                <c:pt idx="49">
                  <c:v>0.98000000082473715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6192"/>
        <c:axId val="118167808"/>
      </c:scatterChart>
      <c:valAx>
        <c:axId val="118136192"/>
        <c:scaling>
          <c:orientation val="minMax"/>
          <c:max val="8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in service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167808"/>
        <c:crosses val="autoZero"/>
        <c:crossBetween val="midCat"/>
      </c:valAx>
      <c:valAx>
        <c:axId val="1181678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136192"/>
        <c:crossesAt val="-3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</a:t>
            </a:r>
            <a:r>
              <a:rPr lang="en-US" baseline="0"/>
              <a:t> effectiveness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MoE!#REF!</c:f>
              <c:strCache>
                <c:ptCount val="1"/>
                <c:pt idx="0">
                  <c:v>#REF!</c:v>
                </c:pt>
              </c:strCache>
            </c:strRef>
          </c:tx>
          <c:yVal>
            <c:numRef>
              <c:f>MoE!#REF!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>
              <a:noFill/>
            </a:ln>
          </c:spPr>
          <c:dLbls>
            <c:dLbl>
              <c:idx val="0"/>
              <c:layout>
                <c:manualLayout>
                  <c:x val="-7.6190476190476197E-2"/>
                  <c:y val="2.8229205929246225E-2"/>
                </c:manualLayout>
              </c:layout>
              <c:tx>
                <c:strRef>
                  <c:f>MoE!$B$1</c:f>
                  <c:strCache>
                    <c:ptCount val="1"/>
                    <c:pt idx="0">
                      <c:v>Wave Relay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549450549450547"/>
                  <c:y val="-4.8393196627845206E-2"/>
                </c:manualLayout>
              </c:layout>
              <c:tx>
                <c:strRef>
                  <c:f>MoE!$C$1</c:f>
                  <c:strCache>
                    <c:ptCount val="1"/>
                    <c:pt idx="0">
                      <c:v>Wave Relay Quad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0081915964134417E-2"/>
                </c:manualLayout>
              </c:layout>
              <c:tx>
                <c:strRef>
                  <c:f>MoE!$D$1</c:f>
                  <c:strCache>
                    <c:ptCount val="1"/>
                    <c:pt idx="0">
                      <c:v>Xiphos - 6RU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MoE!$E$1</c:f>
                  <c:strCache>
                    <c:ptCount val="1"/>
                    <c:pt idx="0">
                      <c:v>Xiphos - 1RU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MoE!$F$1</c:f>
                  <c:strCache>
                    <c:ptCount val="1"/>
                    <c:pt idx="0">
                      <c:v>WildCat II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326007326007326E-3"/>
                  <c:y val="3.6294579930223614E-2"/>
                </c:manualLayout>
              </c:layout>
              <c:tx>
                <c:strRef>
                  <c:f>MoE!$G$1</c:f>
                  <c:strCache>
                    <c:ptCount val="1"/>
                    <c:pt idx="0">
                      <c:v>Ocelot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0256410256410203E-2"/>
                  <c:y val="5.8475112591979621E-2"/>
                </c:manualLayout>
              </c:layout>
              <c:tx>
                <c:strRef>
                  <c:f>MoE!$I$1</c:f>
                  <c:strCache>
                    <c:ptCount val="1"/>
                    <c:pt idx="0">
                      <c:v>Falcon III AN/PRC-117G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560439560439559E-2"/>
                  <c:y val="-7.4606178134594692E-2"/>
                </c:manualLayout>
              </c:layout>
              <c:tx>
                <c:strRef>
                  <c:f>MoE!$H$1</c:f>
                  <c:strCache>
                    <c:ptCount val="1"/>
                    <c:pt idx="0">
                      <c:v>Falcon III RF-7800W OU440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5238095238095233E-2"/>
                  <c:y val="-2.0163831928268833E-2"/>
                </c:manualLayout>
              </c:layout>
              <c:tx>
                <c:strRef>
                  <c:f>MoE!$J$1</c:f>
                  <c:strCache>
                    <c:ptCount val="1"/>
                    <c:pt idx="0">
                      <c:v>Digital Data Link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6376813435018323E-2"/>
                </c:manualLayout>
              </c:layout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1721611721611722"/>
                  <c:y val="3.4278514278057018E-2"/>
                </c:manualLayout>
              </c:layout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326007326007326E-3"/>
                  <c:y val="3.4278514278057018E-2"/>
                </c:manualLayout>
              </c:layout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0256410256410256E-2"/>
                  <c:y val="3.0245747892403252E-2"/>
                </c:manualLayout>
              </c:layout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2.8229364699576369E-2"/>
                </c:manualLayout>
              </c:layout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4.3956043956043956E-3"/>
                  <c:y val="1.2098140386631158E-2"/>
                </c:manualLayout>
              </c:layout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6117216117216119E-2"/>
                  <c:y val="3.0245747892403252E-2"/>
                </c:manualLayout>
              </c:layout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MoE!#REF!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MoE!$B$12:$J$12</c:f>
              <c:numCache>
                <c:formatCode>0.000</c:formatCode>
                <c:ptCount val="9"/>
                <c:pt idx="0">
                  <c:v>3.64</c:v>
                </c:pt>
                <c:pt idx="1">
                  <c:v>7.1420000000000003</c:v>
                </c:pt>
                <c:pt idx="2">
                  <c:v>1378.914</c:v>
                </c:pt>
                <c:pt idx="3">
                  <c:v>681.33199999999999</c:v>
                </c:pt>
                <c:pt idx="4">
                  <c:v>50</c:v>
                </c:pt>
                <c:pt idx="5">
                  <c:v>10</c:v>
                </c:pt>
                <c:pt idx="6">
                  <c:v>25</c:v>
                </c:pt>
                <c:pt idx="7">
                  <c:v>25</c:v>
                </c:pt>
                <c:pt idx="8">
                  <c:v>5</c:v>
                </c:pt>
              </c:numCache>
            </c:numRef>
          </c:xVal>
          <c:yVal>
            <c:numRef>
              <c:f>MoE!$B$11:$J$11</c:f>
              <c:numCache>
                <c:formatCode>0.000</c:formatCode>
                <c:ptCount val="9"/>
                <c:pt idx="0">
                  <c:v>0.48428461310455806</c:v>
                </c:pt>
                <c:pt idx="1">
                  <c:v>0.62371071262859334</c:v>
                </c:pt>
                <c:pt idx="2">
                  <c:v>0.9270952084007833</c:v>
                </c:pt>
                <c:pt idx="3">
                  <c:v>0.78964020998113571</c:v>
                </c:pt>
                <c:pt idx="4">
                  <c:v>0.5948331706620319</c:v>
                </c:pt>
                <c:pt idx="5">
                  <c:v>0.45542499770570188</c:v>
                </c:pt>
                <c:pt idx="6">
                  <c:v>0.62549743656291301</c:v>
                </c:pt>
                <c:pt idx="7">
                  <c:v>0.58928807435198682</c:v>
                </c:pt>
                <c:pt idx="8">
                  <c:v>0.2888678924539051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327360"/>
        <c:axId val="119710464"/>
      </c:scatterChart>
      <c:valAx>
        <c:axId val="119327360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Acquisition cost ($ thousands)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9710464"/>
        <c:crosses val="autoZero"/>
        <c:crossBetween val="midCat"/>
      </c:valAx>
      <c:valAx>
        <c:axId val="119710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Measure</a:t>
                </a:r>
                <a:r>
                  <a:rPr lang="en-US" sz="1200" baseline="0"/>
                  <a:t> of effectiveness</a:t>
                </a:r>
                <a:endParaRPr lang="en-US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9327360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eusnetworks.com/sites/oceusnetworks.com/files/oceus-ds-xiphos-7-13final.pdf" TargetMode="External"/><Relationship Id="rId2" Type="http://schemas.openxmlformats.org/officeDocument/2006/relationships/hyperlink" Target="http://rf.harris.com/media/AN-PRC-152_M1_Web_tcm26-9021.pdf" TargetMode="External"/><Relationship Id="rId1" Type="http://schemas.openxmlformats.org/officeDocument/2006/relationships/hyperlink" Target="http://www.defenseindustrydaily.com/Drone-Relay-PRC-152-Radios-RQ-7-UAVs-Front-Line-Bandwidth-04753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ellisware.com/wp-content/uploads/TW-600_Ocelot_Product_bulletin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80" zoomScaleNormal="80" workbookViewId="0">
      <selection activeCell="B17" sqref="B17"/>
    </sheetView>
  </sheetViews>
  <sheetFormatPr defaultRowHeight="15" x14ac:dyDescent="0.25"/>
  <cols>
    <col min="1" max="1" width="26.7109375" customWidth="1"/>
    <col min="2" max="2" width="19.42578125" customWidth="1"/>
    <col min="3" max="3" width="19.85546875" bestFit="1" customWidth="1"/>
    <col min="4" max="4" width="14.7109375" customWidth="1"/>
    <col min="5" max="5" width="13.42578125" bestFit="1" customWidth="1"/>
    <col min="6" max="6" width="12.42578125" customWidth="1"/>
    <col min="7" max="7" width="13.42578125" customWidth="1"/>
    <col min="8" max="8" width="26.5703125" customWidth="1"/>
    <col min="9" max="9" width="24.140625" customWidth="1"/>
    <col min="10" max="10" width="18.85546875" customWidth="1"/>
    <col min="11" max="11" width="4.5703125" bestFit="1" customWidth="1"/>
    <col min="12" max="12" width="10.28515625" bestFit="1" customWidth="1"/>
    <col min="13" max="13" width="6.7109375" bestFit="1" customWidth="1"/>
    <col min="14" max="14" width="12.28515625" bestFit="1" customWidth="1"/>
    <col min="15" max="15" width="9" bestFit="1" customWidth="1"/>
    <col min="16" max="16" width="5.28515625" bestFit="1" customWidth="1"/>
    <col min="17" max="18" width="8.7109375" bestFit="1" customWidth="1"/>
  </cols>
  <sheetData>
    <row r="1" spans="1:10" ht="14.45" x14ac:dyDescent="0.3">
      <c r="A1" t="s">
        <v>13</v>
      </c>
      <c r="B1" t="s">
        <v>61</v>
      </c>
      <c r="C1" t="s">
        <v>60</v>
      </c>
      <c r="D1" t="s">
        <v>57</v>
      </c>
      <c r="E1" t="s">
        <v>58</v>
      </c>
      <c r="F1" t="s">
        <v>14</v>
      </c>
      <c r="G1" t="s">
        <v>49</v>
      </c>
      <c r="H1" t="s">
        <v>63</v>
      </c>
      <c r="I1" t="s">
        <v>59</v>
      </c>
      <c r="J1" t="s">
        <v>56</v>
      </c>
    </row>
    <row r="2" spans="1:10" ht="14.45" x14ac:dyDescent="0.3">
      <c r="A2" t="s">
        <v>3</v>
      </c>
      <c r="B2" t="s">
        <v>5</v>
      </c>
      <c r="C2" t="s">
        <v>5</v>
      </c>
      <c r="D2" t="s">
        <v>6</v>
      </c>
      <c r="E2" t="s">
        <v>6</v>
      </c>
      <c r="F2" t="s">
        <v>4</v>
      </c>
      <c r="G2" t="s">
        <v>4</v>
      </c>
      <c r="H2" t="s">
        <v>22</v>
      </c>
      <c r="I2" t="s">
        <v>22</v>
      </c>
      <c r="J2" t="s">
        <v>23</v>
      </c>
    </row>
    <row r="3" spans="1:10" ht="14.45" x14ac:dyDescent="0.3">
      <c r="A3" t="s">
        <v>1</v>
      </c>
      <c r="B3">
        <v>0.2</v>
      </c>
      <c r="C3">
        <v>3.2</v>
      </c>
      <c r="D3">
        <f>25+6*33+13+20*2</f>
        <v>276</v>
      </c>
      <c r="E3">
        <f>25+33+20</f>
        <v>78</v>
      </c>
      <c r="F3">
        <f>55/16</f>
        <v>3.4375</v>
      </c>
      <c r="G3">
        <f>3/16</f>
        <v>0.1875</v>
      </c>
      <c r="H3">
        <v>5.5</v>
      </c>
      <c r="I3">
        <v>12</v>
      </c>
      <c r="J3">
        <v>0.2</v>
      </c>
    </row>
    <row r="4" spans="1:10" ht="14.45" x14ac:dyDescent="0.3">
      <c r="A4" t="s">
        <v>37</v>
      </c>
      <c r="B4">
        <v>2</v>
      </c>
      <c r="C4">
        <v>2</v>
      </c>
      <c r="D4">
        <f>6*80</f>
        <v>480</v>
      </c>
      <c r="E4">
        <v>80</v>
      </c>
      <c r="F4">
        <v>8</v>
      </c>
      <c r="G4">
        <v>2</v>
      </c>
      <c r="H4">
        <v>0.316</v>
      </c>
      <c r="I4">
        <v>20</v>
      </c>
      <c r="J4">
        <v>1.5</v>
      </c>
    </row>
    <row r="5" spans="1:10" ht="14.45" x14ac:dyDescent="0.3">
      <c r="A5" t="s">
        <v>62</v>
      </c>
      <c r="B5">
        <v>-92</v>
      </c>
      <c r="C5">
        <v>-92</v>
      </c>
      <c r="D5">
        <v>-119.5</v>
      </c>
      <c r="E5">
        <v>-119.5</v>
      </c>
      <c r="F5">
        <v>-100</v>
      </c>
      <c r="G5">
        <v>-104</v>
      </c>
      <c r="H5" s="3">
        <v>-88</v>
      </c>
      <c r="I5" s="3">
        <v>-118</v>
      </c>
      <c r="J5" s="3">
        <v>-90</v>
      </c>
    </row>
    <row r="6" spans="1:10" ht="14.45" x14ac:dyDescent="0.3">
      <c r="A6" t="s">
        <v>10</v>
      </c>
      <c r="B6">
        <v>16.5</v>
      </c>
      <c r="C6">
        <v>55</v>
      </c>
      <c r="D6">
        <v>3275</v>
      </c>
      <c r="E6">
        <v>855</v>
      </c>
      <c r="F6">
        <v>21</v>
      </c>
      <c r="G6">
        <v>4.3</v>
      </c>
      <c r="H6">
        <v>22</v>
      </c>
      <c r="I6">
        <v>55</v>
      </c>
      <c r="J6">
        <v>9</v>
      </c>
    </row>
    <row r="7" spans="1:10" ht="14.45" hidden="1" x14ac:dyDescent="0.3">
      <c r="A7" t="s">
        <v>27</v>
      </c>
      <c r="B7">
        <v>130</v>
      </c>
      <c r="D7">
        <v>62</v>
      </c>
      <c r="G7">
        <v>26</v>
      </c>
    </row>
    <row r="8" spans="1:10" ht="14.45" x14ac:dyDescent="0.3">
      <c r="A8" t="s">
        <v>11</v>
      </c>
      <c r="B8">
        <v>37</v>
      </c>
      <c r="C8">
        <f>37*4</f>
        <v>148</v>
      </c>
      <c r="D8">
        <v>346</v>
      </c>
      <c r="E8">
        <v>150</v>
      </c>
      <c r="F8">
        <v>40</v>
      </c>
      <c r="G8">
        <v>8</v>
      </c>
      <c r="H8">
        <v>90</v>
      </c>
      <c r="I8">
        <v>1.6E-2</v>
      </c>
      <c r="J8">
        <v>4.5</v>
      </c>
    </row>
    <row r="9" spans="1:10" ht="14.45" x14ac:dyDescent="0.3">
      <c r="A9" t="s">
        <v>12</v>
      </c>
      <c r="B9">
        <v>37</v>
      </c>
      <c r="C9">
        <f>37*4</f>
        <v>148</v>
      </c>
      <c r="D9">
        <v>112</v>
      </c>
      <c r="E9">
        <v>50</v>
      </c>
      <c r="F9">
        <v>40</v>
      </c>
      <c r="G9">
        <v>8</v>
      </c>
      <c r="H9">
        <v>90</v>
      </c>
      <c r="I9">
        <v>1.6E-2</v>
      </c>
      <c r="J9">
        <v>4.5</v>
      </c>
    </row>
    <row r="10" spans="1:10" ht="14.45" x14ac:dyDescent="0.3">
      <c r="A10" t="s">
        <v>47</v>
      </c>
      <c r="B10">
        <v>2012</v>
      </c>
      <c r="C10">
        <v>2012</v>
      </c>
      <c r="D10">
        <v>2011</v>
      </c>
      <c r="E10">
        <v>2011</v>
      </c>
      <c r="F10">
        <v>2010</v>
      </c>
      <c r="G10">
        <v>2013</v>
      </c>
      <c r="H10">
        <v>2010</v>
      </c>
      <c r="I10">
        <v>2011</v>
      </c>
      <c r="J10">
        <v>2009</v>
      </c>
    </row>
    <row r="11" spans="1:10" ht="14.45" x14ac:dyDescent="0.3">
      <c r="A11" t="s">
        <v>48</v>
      </c>
      <c r="B11" s="1">
        <f>IF(EXACT(B10,"-"),B10,2014-B10)</f>
        <v>2</v>
      </c>
      <c r="C11" s="1">
        <f>IF(EXACT(C10,"-"),C10,2014-C10)</f>
        <v>2</v>
      </c>
      <c r="D11" s="1">
        <f t="shared" ref="D11:J11" si="0">IF(EXACT(D10,"-"),D10,2014-D10)</f>
        <v>3</v>
      </c>
      <c r="E11" s="1">
        <f t="shared" si="0"/>
        <v>3</v>
      </c>
      <c r="F11" s="1">
        <f t="shared" si="0"/>
        <v>4</v>
      </c>
      <c r="G11" s="1">
        <f t="shared" si="0"/>
        <v>1</v>
      </c>
      <c r="H11" s="1">
        <f t="shared" si="0"/>
        <v>4</v>
      </c>
      <c r="I11" s="1">
        <f t="shared" si="0"/>
        <v>3</v>
      </c>
      <c r="J11" s="1">
        <f t="shared" si="0"/>
        <v>5</v>
      </c>
    </row>
    <row r="12" spans="1:10" ht="14.45" x14ac:dyDescent="0.3">
      <c r="A12" t="s">
        <v>64</v>
      </c>
      <c r="B12" t="s">
        <v>55</v>
      </c>
      <c r="C12" t="s">
        <v>55</v>
      </c>
      <c r="D12" t="s">
        <v>55</v>
      </c>
      <c r="E12" t="s">
        <v>55</v>
      </c>
      <c r="F12" t="s">
        <v>55</v>
      </c>
      <c r="G12" t="s">
        <v>55</v>
      </c>
      <c r="H12" t="s">
        <v>53</v>
      </c>
      <c r="I12" t="s">
        <v>53</v>
      </c>
      <c r="J12" t="s">
        <v>28</v>
      </c>
    </row>
    <row r="13" spans="1:10" ht="14.45" hidden="1" x14ac:dyDescent="0.3">
      <c r="A13" t="s">
        <v>9</v>
      </c>
      <c r="B13" t="s">
        <v>21</v>
      </c>
      <c r="D13">
        <v>20</v>
      </c>
      <c r="F13" t="s">
        <v>21</v>
      </c>
    </row>
    <row r="14" spans="1:10" ht="14.45" hidden="1" x14ac:dyDescent="0.3">
      <c r="A14" t="s">
        <v>7</v>
      </c>
      <c r="B14">
        <v>1</v>
      </c>
      <c r="D14">
        <v>24</v>
      </c>
      <c r="E14">
        <v>4</v>
      </c>
    </row>
    <row r="15" spans="1:10" ht="14.45" hidden="1" x14ac:dyDescent="0.3">
      <c r="A15" t="s">
        <v>8</v>
      </c>
      <c r="B15">
        <v>15</v>
      </c>
      <c r="F15">
        <v>4</v>
      </c>
    </row>
    <row r="16" spans="1:10" ht="14.45" hidden="1" x14ac:dyDescent="0.3">
      <c r="A16" t="s">
        <v>24</v>
      </c>
      <c r="B16">
        <f>0.7*3.9*2.7</f>
        <v>7.3710000000000004</v>
      </c>
      <c r="F16">
        <f>5.5*5*2</f>
        <v>55</v>
      </c>
      <c r="G16">
        <f>3.37*2.12*0.54</f>
        <v>3.8579760000000007</v>
      </c>
      <c r="H16">
        <v>42</v>
      </c>
      <c r="I16">
        <f>7.4*3.7*1.5</f>
        <v>41.070000000000007</v>
      </c>
    </row>
    <row r="17" spans="1:10" ht="14.45" x14ac:dyDescent="0.3">
      <c r="A17" t="s">
        <v>35</v>
      </c>
      <c r="B17" t="s">
        <v>34</v>
      </c>
      <c r="C17" t="s">
        <v>34</v>
      </c>
      <c r="D17" t="s">
        <v>34</v>
      </c>
      <c r="E17" t="s">
        <v>34</v>
      </c>
      <c r="F17" t="s">
        <v>36</v>
      </c>
      <c r="G17" t="s">
        <v>34</v>
      </c>
      <c r="H17" t="s">
        <v>34</v>
      </c>
      <c r="I17" t="s">
        <v>36</v>
      </c>
      <c r="J17" t="s">
        <v>34</v>
      </c>
    </row>
    <row r="18" spans="1:10" ht="14.45" hidden="1" x14ac:dyDescent="0.3">
      <c r="A18" t="s">
        <v>15</v>
      </c>
      <c r="F18">
        <v>3</v>
      </c>
    </row>
    <row r="19" spans="1:10" ht="14.45" hidden="1" x14ac:dyDescent="0.3">
      <c r="A19" t="s">
        <v>26</v>
      </c>
      <c r="B19" t="s">
        <v>39</v>
      </c>
      <c r="D19" t="s">
        <v>33</v>
      </c>
      <c r="F19" t="s">
        <v>42</v>
      </c>
      <c r="G19" t="s">
        <v>42</v>
      </c>
      <c r="H19" t="s">
        <v>43</v>
      </c>
      <c r="I19" t="s">
        <v>43</v>
      </c>
      <c r="J19" t="s">
        <v>32</v>
      </c>
    </row>
    <row r="20" spans="1:10" ht="14.45" hidden="1" x14ac:dyDescent="0.3">
      <c r="A20" t="s">
        <v>25</v>
      </c>
    </row>
    <row r="21" spans="1:10" ht="14.45" hidden="1" x14ac:dyDescent="0.3">
      <c r="A21" t="s">
        <v>16</v>
      </c>
    </row>
    <row r="22" spans="1:10" ht="14.45" hidden="1" x14ac:dyDescent="0.3">
      <c r="A22" t="s">
        <v>17</v>
      </c>
    </row>
    <row r="23" spans="1:10" ht="14.45" hidden="1" x14ac:dyDescent="0.3">
      <c r="A23" t="s">
        <v>18</v>
      </c>
    </row>
    <row r="24" spans="1:10" ht="14.45" hidden="1" x14ac:dyDescent="0.3">
      <c r="A24" t="s">
        <v>19</v>
      </c>
      <c r="B24" t="e">
        <f>B22/(B22+B23)</f>
        <v>#DIV/0!</v>
      </c>
      <c r="D24" t="e">
        <f>D22/(D22+D23)</f>
        <v>#DIV/0!</v>
      </c>
      <c r="F24" t="e">
        <f>F22/(F22+F23)</f>
        <v>#DIV/0!</v>
      </c>
      <c r="H24" t="e">
        <f>H22/(H22+H23)</f>
        <v>#DIV/0!</v>
      </c>
      <c r="J24" t="e">
        <f>J22/(J22+J23)</f>
        <v>#DIV/0!</v>
      </c>
    </row>
    <row r="25" spans="1:10" ht="14.45" hidden="1" x14ac:dyDescent="0.3">
      <c r="A25" t="s">
        <v>20</v>
      </c>
    </row>
    <row r="26" spans="1:10" ht="14.45" x14ac:dyDescent="0.3">
      <c r="A26" t="s">
        <v>2</v>
      </c>
      <c r="B26">
        <v>3640</v>
      </c>
      <c r="C26">
        <v>7142</v>
      </c>
      <c r="D26">
        <v>1378914</v>
      </c>
      <c r="E26">
        <v>681332</v>
      </c>
      <c r="F26">
        <v>50000</v>
      </c>
      <c r="G26">
        <v>10000</v>
      </c>
      <c r="H26">
        <v>25000</v>
      </c>
      <c r="I26">
        <v>25000</v>
      </c>
      <c r="J26">
        <v>5000</v>
      </c>
    </row>
    <row r="27" spans="1:10" ht="14.45" hidden="1" x14ac:dyDescent="0.3">
      <c r="A27" t="s">
        <v>0</v>
      </c>
      <c r="F27">
        <v>44000</v>
      </c>
      <c r="G27">
        <v>11600</v>
      </c>
    </row>
    <row r="28" spans="1:10" ht="14.45" hidden="1" x14ac:dyDescent="0.3">
      <c r="J28">
        <v>20377</v>
      </c>
    </row>
    <row r="29" spans="1:10" ht="14.45" hidden="1" x14ac:dyDescent="0.3">
      <c r="B29" t="s">
        <v>40</v>
      </c>
      <c r="D29" s="2" t="s">
        <v>41</v>
      </c>
      <c r="E29" s="2"/>
      <c r="F29" t="s">
        <v>51</v>
      </c>
      <c r="G29" s="2" t="s">
        <v>50</v>
      </c>
      <c r="H29" s="2" t="s">
        <v>45</v>
      </c>
      <c r="I29" t="s">
        <v>44</v>
      </c>
      <c r="J29" t="s">
        <v>38</v>
      </c>
    </row>
    <row r="30" spans="1:10" ht="14.45" hidden="1" x14ac:dyDescent="0.3">
      <c r="D30" t="s">
        <v>29</v>
      </c>
      <c r="H30" t="s">
        <v>46</v>
      </c>
      <c r="J30" t="s">
        <v>30</v>
      </c>
    </row>
    <row r="31" spans="1:10" ht="14.45" hidden="1" x14ac:dyDescent="0.3"/>
    <row r="32" spans="1:10" ht="14.45" hidden="1" x14ac:dyDescent="0.3">
      <c r="H32" s="2" t="s">
        <v>31</v>
      </c>
      <c r="I32" s="2"/>
    </row>
  </sheetData>
  <hyperlinks>
    <hyperlink ref="H32" r:id="rId1"/>
    <hyperlink ref="H29" r:id="rId2"/>
    <hyperlink ref="D29" r:id="rId3"/>
    <hyperlink ref="G29" r:id="rId4"/>
  </hyperlinks>
  <pageMargins left="0.7" right="0.7" top="0.75" bottom="0.75" header="0.3" footer="0.3"/>
  <pageSetup scale="68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5" sqref="A15"/>
    </sheetView>
  </sheetViews>
  <sheetFormatPr defaultRowHeight="15" x14ac:dyDescent="0.25"/>
  <cols>
    <col min="1" max="1" width="24.7109375" bestFit="1" customWidth="1"/>
    <col min="2" max="2" width="17.42578125" customWidth="1"/>
    <col min="3" max="3" width="13.42578125" customWidth="1"/>
    <col min="4" max="4" width="13.5703125" bestFit="1" customWidth="1"/>
  </cols>
  <sheetData>
    <row r="1" spans="1:4" x14ac:dyDescent="0.25">
      <c r="A1" s="7" t="s">
        <v>76</v>
      </c>
      <c r="B1" s="7" t="s">
        <v>77</v>
      </c>
      <c r="C1" s="7" t="s">
        <v>81</v>
      </c>
      <c r="D1" s="7" t="s">
        <v>82</v>
      </c>
    </row>
    <row r="2" spans="1:4" x14ac:dyDescent="0.25">
      <c r="A2" t="s">
        <v>52</v>
      </c>
      <c r="B2" t="s">
        <v>78</v>
      </c>
      <c r="C2" s="5">
        <v>0.36</v>
      </c>
      <c r="D2" s="5">
        <f t="shared" ref="D2:D9" si="0">C2*LOOKUP(B2,$A$13:$A$15,$B$13:$B$15)</f>
        <v>0.18</v>
      </c>
    </row>
    <row r="3" spans="1:4" x14ac:dyDescent="0.25">
      <c r="A3" t="s">
        <v>90</v>
      </c>
      <c r="B3" t="s">
        <v>78</v>
      </c>
      <c r="C3" s="5">
        <v>0.4</v>
      </c>
      <c r="D3" s="5">
        <f t="shared" si="0"/>
        <v>0.2</v>
      </c>
    </row>
    <row r="4" spans="1:4" x14ac:dyDescent="0.25">
      <c r="A4" t="s">
        <v>91</v>
      </c>
      <c r="B4" t="s">
        <v>78</v>
      </c>
      <c r="C4" s="5">
        <v>0.24</v>
      </c>
      <c r="D4" s="5">
        <f t="shared" si="0"/>
        <v>0.12</v>
      </c>
    </row>
    <row r="5" spans="1:4" x14ac:dyDescent="0.25">
      <c r="A5" t="s">
        <v>89</v>
      </c>
      <c r="B5" t="s">
        <v>80</v>
      </c>
      <c r="C5" s="5">
        <v>0.67</v>
      </c>
      <c r="D5" s="5">
        <f t="shared" si="0"/>
        <v>0.22110000000000002</v>
      </c>
    </row>
    <row r="6" spans="1:4" x14ac:dyDescent="0.25">
      <c r="A6" t="s">
        <v>94</v>
      </c>
      <c r="B6" t="s">
        <v>80</v>
      </c>
      <c r="C6" s="5">
        <v>0.33</v>
      </c>
      <c r="D6" s="5">
        <f t="shared" si="0"/>
        <v>0.10890000000000001</v>
      </c>
    </row>
    <row r="7" spans="1:4" x14ac:dyDescent="0.25">
      <c r="A7" t="s">
        <v>92</v>
      </c>
      <c r="B7" t="s">
        <v>80</v>
      </c>
      <c r="C7" s="5">
        <v>0</v>
      </c>
      <c r="D7" s="5">
        <f t="shared" si="0"/>
        <v>0</v>
      </c>
    </row>
    <row r="8" spans="1:4" x14ac:dyDescent="0.25">
      <c r="A8" t="s">
        <v>1</v>
      </c>
      <c r="B8" t="s">
        <v>80</v>
      </c>
      <c r="C8" s="5">
        <v>0</v>
      </c>
      <c r="D8" s="5">
        <f t="shared" si="0"/>
        <v>0</v>
      </c>
    </row>
    <row r="9" spans="1:4" x14ac:dyDescent="0.25">
      <c r="A9" t="s">
        <v>93</v>
      </c>
      <c r="B9" t="s">
        <v>79</v>
      </c>
      <c r="C9" s="5">
        <v>1</v>
      </c>
      <c r="D9" s="5">
        <f t="shared" si="0"/>
        <v>0.17</v>
      </c>
    </row>
    <row r="11" spans="1:4" x14ac:dyDescent="0.25">
      <c r="D11" s="5"/>
    </row>
    <row r="12" spans="1:4" x14ac:dyDescent="0.25">
      <c r="A12" s="7" t="s">
        <v>77</v>
      </c>
      <c r="B12" s="7" t="s">
        <v>1</v>
      </c>
    </row>
    <row r="13" spans="1:4" x14ac:dyDescent="0.25">
      <c r="A13" t="s">
        <v>80</v>
      </c>
      <c r="B13">
        <v>0.33</v>
      </c>
    </row>
    <row r="14" spans="1:4" x14ac:dyDescent="0.25">
      <c r="A14" t="s">
        <v>78</v>
      </c>
      <c r="B14">
        <v>0.5</v>
      </c>
    </row>
    <row r="15" spans="1:4" x14ac:dyDescent="0.25">
      <c r="A15" t="s">
        <v>79</v>
      </c>
      <c r="B15">
        <v>0.17</v>
      </c>
    </row>
  </sheetData>
  <sortState ref="A17:B20">
    <sortCondition ref="A17:A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7" sqref="B7"/>
    </sheetView>
  </sheetViews>
  <sheetFormatPr defaultRowHeight="15" x14ac:dyDescent="0.25"/>
  <cols>
    <col min="1" max="1" width="25.5703125" customWidth="1"/>
    <col min="2" max="2" width="11.28515625" bestFit="1" customWidth="1"/>
    <col min="3" max="3" width="16.5703125" bestFit="1" customWidth="1"/>
    <col min="4" max="5" width="12" bestFit="1" customWidth="1"/>
    <col min="6" max="6" width="9.5703125" bestFit="1" customWidth="1"/>
    <col min="7" max="7" width="6.85546875" bestFit="1" customWidth="1"/>
    <col min="8" max="8" width="24.5703125" bestFit="1" customWidth="1"/>
    <col min="9" max="9" width="21.7109375" bestFit="1" customWidth="1"/>
    <col min="10" max="10" width="15.28515625" bestFit="1" customWidth="1"/>
  </cols>
  <sheetData>
    <row r="1" spans="1:10" s="4" customFormat="1" x14ac:dyDescent="0.25">
      <c r="A1" s="8" t="s">
        <v>83</v>
      </c>
      <c r="B1" s="4" t="str">
        <f>'Comm Payload'!B1</f>
        <v>Wave Relay</v>
      </c>
      <c r="C1" s="4" t="str">
        <f>'Comm Payload'!C1</f>
        <v>Wave Relay Quad</v>
      </c>
      <c r="D1" s="4" t="str">
        <f>'Comm Payload'!D1</f>
        <v>Xiphos - 6RU</v>
      </c>
      <c r="E1" s="4" t="str">
        <f>'Comm Payload'!E1</f>
        <v>Xiphos - 1RU</v>
      </c>
      <c r="F1" s="4" t="str">
        <f>'Comm Payload'!F1</f>
        <v>WildCat II</v>
      </c>
      <c r="G1" s="4" t="str">
        <f>'Comm Payload'!G1</f>
        <v>Ocelot</v>
      </c>
      <c r="H1" s="4" t="str">
        <f>'Comm Payload'!H1</f>
        <v>Falcon III RF-7800W OU440</v>
      </c>
      <c r="I1" s="4" t="str">
        <f>'Comm Payload'!I1</f>
        <v>Falcon III AN/PRC-117G</v>
      </c>
      <c r="J1" s="4" t="str">
        <f>'Comm Payload'!J1</f>
        <v>Digital Data Link</v>
      </c>
    </row>
    <row r="2" spans="1:10" x14ac:dyDescent="0.25">
      <c r="A2" t="str">
        <f>'Tradeoff weights'!A2</f>
        <v>Throughput</v>
      </c>
      <c r="B2" s="5">
        <f>'Tradeoff weights'!$D2*IF(('Comm Payload'!B8+'Comm Payload'!B9)&lt;=MIN(Throughput!$A$2:$A$4),0,IF(('Comm Payload'!B8+'Comm Payload'!B9)&gt;=MAX(Throughput!$A$2:$A$4),1,(1/Throughput!$B$8)*(1-EXP(Throughput!$B$6*(('Comm Payload'!B8+'Comm Payload'!B9)-MIN(Throughput!$A$2:$A$4))^Throughput!$B$7))))</f>
        <v>4.0573900475964639E-2</v>
      </c>
      <c r="C2" s="5">
        <f>'Tradeoff weights'!$D2*IF(('Comm Payload'!C8+'Comm Payload'!C9)&lt;=MIN(Throughput!$A$2:$A$4),0,IF(('Comm Payload'!C8+'Comm Payload'!C9)&gt;=MAX(Throughput!$A$2:$A$4),1,(1/Throughput!$B$8)*(1-EXP(Throughput!$B$6*(('Comm Payload'!C8+'Comm Payload'!C9)-MIN(Throughput!$A$2:$A$4))^Throughput!$B$7))))</f>
        <v>0.18</v>
      </c>
      <c r="D2" s="5">
        <f>'Tradeoff weights'!$D2*IF(('Comm Payload'!D8+'Comm Payload'!D9)&lt;=MIN(Throughput!$A$2:$A$4),0,IF(('Comm Payload'!D8+'Comm Payload'!D9)&gt;=MAX(Throughput!$A$2:$A$4),1,(1/Throughput!$B$8)*(1-EXP(Throughput!$B$6*(('Comm Payload'!D8+'Comm Payload'!D9)-MIN(Throughput!$A$2:$A$4))^Throughput!$B$7))))</f>
        <v>0.18</v>
      </c>
      <c r="E2" s="5">
        <f>'Tradeoff weights'!$D2*IF(('Comm Payload'!E8+'Comm Payload'!E9)&lt;=MIN(Throughput!$A$2:$A$4),0,IF(('Comm Payload'!E8+'Comm Payload'!E9)&gt;=MAX(Throughput!$A$2:$A$4),1,(1/Throughput!$B$8)*(1-EXP(Throughput!$B$6*(('Comm Payload'!E8+'Comm Payload'!E9)-MIN(Throughput!$A$2:$A$4))^Throughput!$B$7))))</f>
        <v>0.15863522811897063</v>
      </c>
      <c r="F2" s="5">
        <f>'Tradeoff weights'!$D2*IF(('Comm Payload'!F8+'Comm Payload'!F9)&lt;=MIN(Throughput!$A$2:$A$4),0,IF(('Comm Payload'!F8+'Comm Payload'!F9)&gt;=MAX(Throughput!$A$2:$A$4),1,(1/Throughput!$B$8)*(1-EXP(Throughput!$B$6*(('Comm Payload'!F8+'Comm Payload'!F9)-MIN(Throughput!$A$2:$A$4))^Throughput!$B$7))))</f>
        <v>4.9492342403890652E-2</v>
      </c>
      <c r="G2" s="5">
        <f>'Tradeoff weights'!$D2*IF(('Comm Payload'!G8+'Comm Payload'!G9)&lt;=MIN(Throughput!$A$2:$A$4),0,IF(('Comm Payload'!G8+'Comm Payload'!G9)&gt;=MAX(Throughput!$A$2:$A$4),1,(1/Throughput!$B$8)*(1-EXP(Throughput!$B$6*(('Comm Payload'!G8+'Comm Payload'!G9)-MIN(Throughput!$A$2:$A$4))^Throughput!$B$7))))</f>
        <v>0</v>
      </c>
      <c r="H2" s="5">
        <f>'Tradeoff weights'!$D2*IF(('Comm Payload'!H8+'Comm Payload'!H9)&lt;=MIN(Throughput!$A$2:$A$4),0,IF(('Comm Payload'!H8+'Comm Payload'!H9)&gt;=MAX(Throughput!$A$2:$A$4),1,(1/Throughput!$B$8)*(1-EXP(Throughput!$B$6*(('Comm Payload'!H8+'Comm Payload'!H9)-MIN(Throughput!$A$2:$A$4))^Throughput!$B$7))))</f>
        <v>0.14721100388805922</v>
      </c>
      <c r="I2" s="5">
        <f>'Tradeoff weights'!$D2*IF(('Comm Payload'!I8+'Comm Payload'!I9)&lt;=MIN(Throughput!$A$2:$A$4),0,IF(('Comm Payload'!I8+'Comm Payload'!I9)&gt;=MAX(Throughput!$A$2:$A$4),1,(1/Throughput!$B$8)*(1-EXP(Throughput!$B$6*(('Comm Payload'!I8+'Comm Payload'!I9)-MIN(Throughput!$A$2:$A$4))^Throughput!$B$7))))</f>
        <v>0</v>
      </c>
      <c r="J2" s="5">
        <f>'Tradeoff weights'!$D2*IF(('Comm Payload'!J8+'Comm Payload'!J9)&lt;=MIN(Throughput!$A$2:$A$4),0,IF(('Comm Payload'!J8+'Comm Payload'!J9)&gt;=MAX(Throughput!$A$2:$A$4),1,(1/Throughput!$B$8)*(1-EXP(Throughput!$B$6*(('Comm Payload'!J8+'Comm Payload'!J9)-MIN(Throughput!$A$2:$A$4))^Throughput!$B$7))))</f>
        <v>0</v>
      </c>
    </row>
    <row r="3" spans="1:10" x14ac:dyDescent="0.25">
      <c r="A3" t="str">
        <f>'Tradeoff weights'!A3</f>
        <v>Power output</v>
      </c>
      <c r="B3" s="5">
        <f>'Tradeoff weights'!$D3*IF('Comm Payload'!B4&lt;=MIN('Power output'!$A$2:$A$12),0,IF('Comm Payload'!B4&gt;=MAX('Power output'!$A$2:$A$12),1,(1/'Power output'!$B$16)*(1-EXP('Power output'!$B$14*('Comm Payload'!B4-MIN('Power output'!$A$2:$A$12))^'Power output'!$B$15))))</f>
        <v>2.3478590765589236E-3</v>
      </c>
      <c r="C3" s="5">
        <f>'Tradeoff weights'!$D3*IF('Comm Payload'!C4&lt;=MIN('Power output'!$A$2:$A$12),0,IF('Comm Payload'!C4&gt;=MAX('Power output'!$A$2:$A$12),1,(1/'Power output'!$B$16)*(1-EXP('Power output'!$B$14*('Comm Payload'!C4-MIN('Power output'!$A$2:$A$12))^'Power output'!$B$15))))</f>
        <v>2.3478590765589236E-3</v>
      </c>
      <c r="D3" s="5">
        <f>'Tradeoff weights'!$D3*IF('Comm Payload'!D4&lt;=MIN('Power output'!$A$2:$A$12),0,IF('Comm Payload'!D4&gt;=MAX('Power output'!$A$2:$A$12),1,(1/'Power output'!$B$16)*(1-EXP('Power output'!$B$14*('Comm Payload'!D4-MIN('Power output'!$A$2:$A$12))^'Power output'!$B$15))))</f>
        <v>0.19894663622282818</v>
      </c>
      <c r="E3" s="5">
        <f>'Tradeoff weights'!$D3*IF('Comm Payload'!E4&lt;=MIN('Power output'!$A$2:$A$12),0,IF('Comm Payload'!E4&gt;=MAX('Power output'!$A$2:$A$12),1,(1/'Power output'!$B$16)*(1-EXP('Power output'!$B$14*('Comm Payload'!E4-MIN('Power output'!$A$2:$A$12))^'Power output'!$B$15))))</f>
        <v>8.2856409684210083E-2</v>
      </c>
      <c r="F3" s="5">
        <f>'Tradeoff weights'!$D3*IF('Comm Payload'!F4&lt;=MIN('Power output'!$A$2:$A$12),0,IF('Comm Payload'!F4&gt;=MAX('Power output'!$A$2:$A$12),1,(1/'Power output'!$B$16)*(1-EXP('Power output'!$B$14*('Comm Payload'!F4-MIN('Power output'!$A$2:$A$12))^'Power output'!$B$15))))</f>
        <v>9.6265478509469631E-3</v>
      </c>
      <c r="G3" s="5">
        <f>'Tradeoff weights'!$D3*IF('Comm Payload'!G4&lt;=MIN('Power output'!$A$2:$A$12),0,IF('Comm Payload'!G4&gt;=MAX('Power output'!$A$2:$A$12),1,(1/'Power output'!$B$16)*(1-EXP('Power output'!$B$14*('Comm Payload'!G4-MIN('Power output'!$A$2:$A$12))^'Power output'!$B$15))))</f>
        <v>2.3478590765589236E-3</v>
      </c>
      <c r="H3" s="5">
        <f>'Tradeoff weights'!$D3*IF('Comm Payload'!H4&lt;=MIN('Power output'!$A$2:$A$12),0,IF('Comm Payload'!H4&gt;=MAX('Power output'!$A$2:$A$12),1,(1/'Power output'!$B$16)*(1-EXP('Power output'!$B$14*('Comm Payload'!H4-MIN('Power output'!$A$2:$A$12))^'Power output'!$B$15))))</f>
        <v>3.5215011604769144E-4</v>
      </c>
      <c r="I3" s="5">
        <f>'Tradeoff weights'!$D3*IF('Comm Payload'!I4&lt;=MIN('Power output'!$A$2:$A$12),0,IF('Comm Payload'!I4&gt;=MAX('Power output'!$A$2:$A$12),1,(1/'Power output'!$B$16)*(1-EXP('Power output'!$B$14*('Comm Payload'!I4-MIN('Power output'!$A$2:$A$12))^'Power output'!$B$15))))</f>
        <v>2.3859502979220869E-2</v>
      </c>
      <c r="J3" s="5">
        <f>'Tradeoff weights'!$D3*IF('Comm Payload'!J4&lt;=MIN('Power output'!$A$2:$A$12),0,IF('Comm Payload'!J4&gt;=MAX('Power output'!$A$2:$A$12),1,(1/'Power output'!$B$16)*(1-EXP('Power output'!$B$14*('Comm Payload'!J4-MIN('Power output'!$A$2:$A$12))^'Power output'!$B$15))))</f>
        <v>1.7478969669607787E-3</v>
      </c>
    </row>
    <row r="4" spans="1:10" x14ac:dyDescent="0.25">
      <c r="A4" t="str">
        <f>'Tradeoff weights'!A4</f>
        <v>Receiver sensitivity</v>
      </c>
      <c r="B4" s="5">
        <f>'Tradeoff weights'!$D4*IF('Comm Payload'!B5&lt;=MIN('Receiver sensitivity'!$A$2:$A$12),1,IF('Comm Payload'!B5&gt;=MAX('Receiver sensitivity'!$A$2:$A$12),0,(1/'Receiver sensitivity'!$B$16)*(1-EXP('Receiver sensitivity'!$B$14*(MAX('Receiver sensitivity'!$A$2:$A$12)-'Comm Payload'!B5)^'Receiver sensitivity'!$B$15))))</f>
        <v>3.5999994984013378E-2</v>
      </c>
      <c r="C4" s="5">
        <f>'Tradeoff weights'!$D4*IF('Comm Payload'!C5&lt;=MIN('Receiver sensitivity'!$A$2:$A$12),1,IF('Comm Payload'!C5&gt;=MAX('Receiver sensitivity'!$A$2:$A$12),0,(1/'Receiver sensitivity'!$B$16)*(1-EXP('Receiver sensitivity'!$B$14*(MAX('Receiver sensitivity'!$A$2:$A$12)-'Comm Payload'!C5)^'Receiver sensitivity'!$B$15))))</f>
        <v>3.5999994984013378E-2</v>
      </c>
      <c r="D4" s="5">
        <f>'Tradeoff weights'!$D4*IF('Comm Payload'!D5&lt;=MIN('Receiver sensitivity'!$A$2:$A$12),1,IF('Comm Payload'!D5&gt;=MAX('Receiver sensitivity'!$A$2:$A$12),0,(1/'Receiver sensitivity'!$B$16)*(1-EXP('Receiver sensitivity'!$B$14*(MAX('Receiver sensitivity'!$A$2:$A$12)-'Comm Payload'!D5)^'Receiver sensitivity'!$B$15))))</f>
        <v>0.11849999970939917</v>
      </c>
      <c r="E4" s="5">
        <f>'Tradeoff weights'!$D4*IF('Comm Payload'!E5&lt;=MIN('Receiver sensitivity'!$A$2:$A$12),1,IF('Comm Payload'!E5&gt;=MAX('Receiver sensitivity'!$A$2:$A$12),0,(1/'Receiver sensitivity'!$B$16)*(1-EXP('Receiver sensitivity'!$B$14*(MAX('Receiver sensitivity'!$A$2:$A$12)-'Comm Payload'!E5)^'Receiver sensitivity'!$B$15))))</f>
        <v>0.11849999970939917</v>
      </c>
      <c r="F4" s="5">
        <f>'Tradeoff weights'!$D4*IF('Comm Payload'!F5&lt;=MIN('Receiver sensitivity'!$A$2:$A$12),1,IF('Comm Payload'!F5&gt;=MAX('Receiver sensitivity'!$A$2:$A$12),0,(1/'Receiver sensitivity'!$B$16)*(1-EXP('Receiver sensitivity'!$B$14*(MAX('Receiver sensitivity'!$A$2:$A$12)-'Comm Payload'!F5)^'Receiver sensitivity'!$B$15))))</f>
        <v>5.9999994038103549E-2</v>
      </c>
      <c r="G4" s="5">
        <f>'Tradeoff weights'!$D4*IF('Comm Payload'!G5&lt;=MIN('Receiver sensitivity'!$A$2:$A$12),1,IF('Comm Payload'!G5&gt;=MAX('Receiver sensitivity'!$A$2:$A$12),0,(1/'Receiver sensitivity'!$B$16)*(1-EXP('Receiver sensitivity'!$B$14*(MAX('Receiver sensitivity'!$A$2:$A$12)-'Comm Payload'!G5)^'Receiver sensitivity'!$B$15))))</f>
        <v>7.1999994231282324E-2</v>
      </c>
      <c r="H4" s="5">
        <f>'Tradeoff weights'!$D4*IF('Comm Payload'!H5&lt;=MIN('Receiver sensitivity'!$A$2:$A$12),1,IF('Comm Payload'!H5&gt;=MAX('Receiver sensitivity'!$A$2:$A$12),0,(1/'Receiver sensitivity'!$B$16)*(1-EXP('Receiver sensitivity'!$B$14*(MAX('Receiver sensitivity'!$A$2:$A$12)-'Comm Payload'!H5)^'Receiver sensitivity'!$B$15))))</f>
        <v>2.3999996189715343E-2</v>
      </c>
      <c r="I4" s="5">
        <f>'Tradeoff weights'!$D4*IF('Comm Payload'!I5&lt;=MIN('Receiver sensitivity'!$A$2:$A$12),1,IF('Comm Payload'!I5&gt;=MAX('Receiver sensitivity'!$A$2:$A$12),0,(1/'Receiver sensitivity'!$B$16)*(1-EXP('Receiver sensitivity'!$B$14*(MAX('Receiver sensitivity'!$A$2:$A$12)-'Comm Payload'!I5)^'Receiver sensitivity'!$B$15))))</f>
        <v>0.11399999890421009</v>
      </c>
      <c r="J4" s="5">
        <f>'Tradeoff weights'!$D4*IF('Comm Payload'!J5&lt;=MIN('Receiver sensitivity'!$A$2:$A$12),1,IF('Comm Payload'!J5&gt;=MAX('Receiver sensitivity'!$A$2:$A$12),0,(1/'Receiver sensitivity'!$B$16)*(1-EXP('Receiver sensitivity'!$B$14*(MAX('Receiver sensitivity'!$A$2:$A$12)-'Comm Payload'!J5)^'Receiver sensitivity'!$B$15))))</f>
        <v>2.9999995486944306E-2</v>
      </c>
    </row>
    <row r="5" spans="1:10" x14ac:dyDescent="0.25">
      <c r="A5" t="str">
        <f>'Tradeoff weights'!A5</f>
        <v>Mesh capability</v>
      </c>
      <c r="B5" s="5">
        <f>'Tradeoff weights'!$D5*VLOOKUP('Comm Payload'!B12,'Mesh capability'!$A$2:$B$4,2,FALSE)</f>
        <v>0.22110000000000002</v>
      </c>
      <c r="C5" s="5">
        <f>'Tradeoff weights'!$D5*VLOOKUP('Comm Payload'!C12,'Mesh capability'!$A$2:$B$4,2,FALSE)</f>
        <v>0.22110000000000002</v>
      </c>
      <c r="D5" s="5">
        <f>'Tradeoff weights'!$D5*VLOOKUP('Comm Payload'!D12,'Mesh capability'!$A$2:$B$4,2,FALSE)</f>
        <v>0.22110000000000002</v>
      </c>
      <c r="E5" s="5">
        <f>'Tradeoff weights'!$D5*VLOOKUP('Comm Payload'!E12,'Mesh capability'!$A$2:$B$4,2,FALSE)</f>
        <v>0.22110000000000002</v>
      </c>
      <c r="F5" s="5">
        <f>'Tradeoff weights'!$D5*VLOOKUP('Comm Payload'!F12,'Mesh capability'!$A$2:$B$4,2,FALSE)</f>
        <v>0.22110000000000002</v>
      </c>
      <c r="G5" s="5">
        <f>'Tradeoff weights'!$D5*VLOOKUP('Comm Payload'!G12,'Mesh capability'!$A$2:$B$4,2,FALSE)</f>
        <v>0.22110000000000002</v>
      </c>
      <c r="H5" s="5">
        <f>'Tradeoff weights'!$D5*VLOOKUP('Comm Payload'!H12,'Mesh capability'!$A$2:$B$4,2,FALSE)</f>
        <v>0.22110000000000002</v>
      </c>
      <c r="I5" s="5">
        <f>'Tradeoff weights'!$D5*VLOOKUP('Comm Payload'!I12,'Mesh capability'!$A$2:$B$4,2,FALSE)</f>
        <v>0.22110000000000002</v>
      </c>
      <c r="J5" s="5">
        <f>'Tradeoff weights'!$D5*VLOOKUP('Comm Payload'!J12,'Mesh capability'!$A$2:$B$4,2,FALSE)</f>
        <v>0</v>
      </c>
    </row>
    <row r="6" spans="1:10" x14ac:dyDescent="0.25">
      <c r="A6" t="str">
        <f>'Tradeoff weights'!A6</f>
        <v>Traffic type</v>
      </c>
      <c r="B6" s="5">
        <f>'Tradeoff weights'!$D6*VLOOKUP('Comm Payload'!B17,'Traffic type'!$A$2:$B$4,2,FALSE)</f>
        <v>8.7120000000000017E-2</v>
      </c>
      <c r="C6" s="5">
        <f>'Tradeoff weights'!$D6*VLOOKUP('Comm Payload'!C17,'Traffic type'!$A$2:$B$4,2,FALSE)</f>
        <v>8.7120000000000017E-2</v>
      </c>
      <c r="D6" s="5">
        <f>'Tradeoff weights'!$D6*VLOOKUP('Comm Payload'!D17,'Traffic type'!$A$2:$B$4,2,FALSE)</f>
        <v>8.7120000000000017E-2</v>
      </c>
      <c r="E6" s="5">
        <f>'Tradeoff weights'!$D6*VLOOKUP('Comm Payload'!E17,'Traffic type'!$A$2:$B$4,2,FALSE)</f>
        <v>8.7120000000000017E-2</v>
      </c>
      <c r="F6" s="5">
        <f>'Tradeoff weights'!$D6*VLOOKUP('Comm Payload'!F17,'Traffic type'!$A$2:$B$4,2,FALSE)</f>
        <v>0.10890000000000001</v>
      </c>
      <c r="G6" s="5">
        <f>'Tradeoff weights'!$D6*VLOOKUP('Comm Payload'!G17,'Traffic type'!$A$2:$B$4,2,FALSE)</f>
        <v>8.7120000000000017E-2</v>
      </c>
      <c r="H6" s="5">
        <f>'Tradeoff weights'!$D6*VLOOKUP('Comm Payload'!H17,'Traffic type'!$A$2:$B$4,2,FALSE)</f>
        <v>8.7120000000000017E-2</v>
      </c>
      <c r="I6" s="5">
        <f>'Tradeoff weights'!$D6*VLOOKUP('Comm Payload'!I17,'Traffic type'!$A$2:$B$4,2,FALSE)</f>
        <v>0.10890000000000001</v>
      </c>
      <c r="J6" s="5">
        <f>'Tradeoff weights'!$D6*VLOOKUP('Comm Payload'!J17,'Traffic type'!$A$2:$B$4,2,FALSE)</f>
        <v>8.7120000000000017E-2</v>
      </c>
    </row>
    <row r="7" spans="1:10" x14ac:dyDescent="0.25">
      <c r="A7" t="str">
        <f>'Tradeoff weights'!A7</f>
        <v>Power consumption</v>
      </c>
      <c r="B7" s="5">
        <f>'Tradeoff weights'!$D7*IF('Comm Payload'!B6&lt;=MIN('Power consumption'!$A$2:$A$12),1,IF('Comm Payload'!B6&gt;=MAX('Power consumption'!$A$2:$A$12),0,(1/'Power consumption'!$B$16)*(1-EXP('Power consumption'!$B$14*(MAX('Power consumption'!$A$2:$A$12)-'Comm Payload'!B6)^'Power consumption'!$B$15))))</f>
        <v>0</v>
      </c>
      <c r="C7" s="5">
        <f>'Tradeoff weights'!$D7*IF('Comm Payload'!C6&lt;=MIN('Power consumption'!$A$2:$A$12),1,IF('Comm Payload'!C6&gt;=MAX('Power consumption'!$A$2:$A$12),0,(1/'Power consumption'!$B$16)*(1-EXP('Power consumption'!$B$14*(MAX('Power consumption'!$A$2:$A$12)-'Comm Payload'!C6)^'Power consumption'!$B$15))))</f>
        <v>0</v>
      </c>
      <c r="D7" s="5">
        <f>'Tradeoff weights'!$D7*IF('Comm Payload'!D6&lt;=MIN('Power consumption'!$A$2:$A$12),1,IF('Comm Payload'!D6&gt;=MAX('Power consumption'!$A$2:$A$12),0,(1/'Power consumption'!$B$16)*(1-EXP('Power consumption'!$B$14*(MAX('Power consumption'!$A$2:$A$12)-'Comm Payload'!D6)^'Power consumption'!$B$15))))</f>
        <v>0</v>
      </c>
      <c r="E7" s="5">
        <f>'Tradeoff weights'!$D7*IF('Comm Payload'!E6&lt;=MIN('Power consumption'!$A$2:$A$12),1,IF('Comm Payload'!E6&gt;=MAX('Power consumption'!$A$2:$A$12),0,(1/'Power consumption'!$B$16)*(1-EXP('Power consumption'!$B$14*(MAX('Power consumption'!$A$2:$A$12)-'Comm Payload'!E6)^'Power consumption'!$B$15))))</f>
        <v>0</v>
      </c>
      <c r="F7" s="5">
        <f>'Tradeoff weights'!$D7*IF('Comm Payload'!F6&lt;=MIN('Power consumption'!$A$2:$A$12),1,IF('Comm Payload'!F6&gt;=MAX('Power consumption'!$A$2:$A$12),0,(1/'Power consumption'!$B$16)*(1-EXP('Power consumption'!$B$14*(MAX('Power consumption'!$A$2:$A$12)-'Comm Payload'!F6)^'Power consumption'!$B$15))))</f>
        <v>0</v>
      </c>
      <c r="G7" s="5">
        <f>'Tradeoff weights'!$D7*IF('Comm Payload'!G6&lt;=MIN('Power consumption'!$A$2:$A$12),1,IF('Comm Payload'!G6&gt;=MAX('Power consumption'!$A$2:$A$12),0,(1/'Power consumption'!$B$16)*(1-EXP('Power consumption'!$B$14*(MAX('Power consumption'!$A$2:$A$12)-'Comm Payload'!G6)^'Power consumption'!$B$15))))</f>
        <v>0</v>
      </c>
      <c r="H7" s="5">
        <f>'Tradeoff weights'!$D7*IF('Comm Payload'!H6&lt;=MIN('Power consumption'!$A$2:$A$12),1,IF('Comm Payload'!H6&gt;=MAX('Power consumption'!$A$2:$A$12),0,(1/'Power consumption'!$B$16)*(1-EXP('Power consumption'!$B$14*(MAX('Power consumption'!$A$2:$A$12)-'Comm Payload'!H6)^'Power consumption'!$B$15))))</f>
        <v>0</v>
      </c>
      <c r="I7" s="5">
        <f>'Tradeoff weights'!$D7*IF('Comm Payload'!I6&lt;=MIN('Power consumption'!$A$2:$A$12),1,IF('Comm Payload'!I6&gt;=MAX('Power consumption'!$A$2:$A$12),0,(1/'Power consumption'!$B$16)*(1-EXP('Power consumption'!$B$14*(MAX('Power consumption'!$A$2:$A$12)-'Comm Payload'!I6)^'Power consumption'!$B$15))))</f>
        <v>0</v>
      </c>
      <c r="J7" s="5">
        <f>'Tradeoff weights'!$D7*IF('Comm Payload'!J6&lt;=MIN('Power consumption'!$A$2:$A$12),1,IF('Comm Payload'!J6&gt;=MAX('Power consumption'!$A$2:$A$12),0,(1/'Power consumption'!$B$16)*(1-EXP('Power consumption'!$B$14*(MAX('Power consumption'!$A$2:$A$12)-'Comm Payload'!J6)^'Power consumption'!$B$15))))</f>
        <v>0</v>
      </c>
    </row>
    <row r="8" spans="1:10" x14ac:dyDescent="0.25">
      <c r="A8" t="str">
        <f>'Tradeoff weights'!A8</f>
        <v>Weight</v>
      </c>
      <c r="B8" s="5">
        <f>'Tradeoff weights'!$D8*IF('Comm Payload'!B3&lt;=MIN(Weight!$A$6:$A$16),1,IF('Comm Payload'!B3&gt;=MAX(Weight!$A$6:$A$16),0,(1/Weight!$B$16)*(1-EXP(Weight!$B$14*(MAX(Weight!$A$2:$A$12)-'Comm Payload'!B3)^Weight!$B$15))))</f>
        <v>0</v>
      </c>
      <c r="C8" s="5">
        <f>'Tradeoff weights'!$D8*IF('Comm Payload'!C3&lt;=MIN(Weight!$A$6:$A$16),1,IF('Comm Payload'!C3&gt;=MAX(Weight!$A$6:$A$16),0,(1/Weight!$B$16)*(1-EXP(Weight!$B$14*(MAX(Weight!$A$2:$A$12)-'Comm Payload'!C3)^Weight!$B$15))))</f>
        <v>0</v>
      </c>
      <c r="D8" s="5">
        <f>'Tradeoff weights'!$D8*IF('Comm Payload'!D3&lt;=MIN(Weight!$A$6:$A$16),1,IF('Comm Payload'!D3&gt;=MAX(Weight!$A$6:$A$16),0,(1/Weight!$B$16)*(1-EXP(Weight!$B$14*(MAX(Weight!$A$2:$A$12)-'Comm Payload'!D3)^Weight!$B$15))))</f>
        <v>0</v>
      </c>
      <c r="E8" s="5">
        <f>'Tradeoff weights'!$D8*IF('Comm Payload'!E3&lt;=MIN(Weight!$A$6:$A$16),1,IF('Comm Payload'!E3&gt;=MAX(Weight!$A$6:$A$16),0,(1/Weight!$B$16)*(1-EXP(Weight!$B$14*(MAX(Weight!$A$2:$A$12)-'Comm Payload'!E3)^Weight!$B$15))))</f>
        <v>0</v>
      </c>
      <c r="F8" s="5">
        <f>'Tradeoff weights'!$D8*IF('Comm Payload'!F3&lt;=MIN(Weight!$A$6:$A$16),1,IF('Comm Payload'!F3&gt;=MAX(Weight!$A$6:$A$16),0,(1/Weight!$B$16)*(1-EXP(Weight!$B$14*(MAX(Weight!$A$2:$A$12)-'Comm Payload'!F3)^Weight!$B$15))))</f>
        <v>0</v>
      </c>
      <c r="G8" s="5">
        <f>'Tradeoff weights'!$D8*IF('Comm Payload'!G3&lt;=MIN(Weight!$A$6:$A$16),1,IF('Comm Payload'!G3&gt;=MAX(Weight!$A$6:$A$16),0,(1/Weight!$B$16)*(1-EXP(Weight!$B$14*(MAX(Weight!$A$2:$A$12)-'Comm Payload'!G3)^Weight!$B$15))))</f>
        <v>0</v>
      </c>
      <c r="H8" s="5">
        <f>'Tradeoff weights'!$D8*IF('Comm Payload'!H3&lt;=MIN(Weight!$A$6:$A$16),1,IF('Comm Payload'!H3&gt;=MAX(Weight!$A$6:$A$16),0,(1/Weight!$B$16)*(1-EXP(Weight!$B$14*(MAX(Weight!$A$2:$A$12)-'Comm Payload'!H3)^Weight!$B$15))))</f>
        <v>0</v>
      </c>
      <c r="I8" s="5">
        <f>'Tradeoff weights'!$D8*IF('Comm Payload'!I3&lt;=MIN(Weight!$A$6:$A$16),1,IF('Comm Payload'!I3&gt;=MAX(Weight!$A$6:$A$16),0,(1/Weight!$B$16)*(1-EXP(Weight!$B$14*(MAX(Weight!$A$2:$A$12)-'Comm Payload'!I3)^Weight!$B$15))))</f>
        <v>0</v>
      </c>
      <c r="J8" s="5">
        <f>'Tradeoff weights'!$D8*IF('Comm Payload'!J3&lt;=MIN(Weight!$A$6:$A$16),1,IF('Comm Payload'!J3&gt;=MAX(Weight!$A$6:$A$16),0,(1/Weight!$B$16)*(1-EXP(Weight!$B$14*(MAX(Weight!$A$2:$A$12)-'Comm Payload'!J3)^Weight!$B$15))))</f>
        <v>0</v>
      </c>
    </row>
    <row r="9" spans="1:10" x14ac:dyDescent="0.25">
      <c r="A9" t="str">
        <f>'Tradeoff weights'!A9</f>
        <v>Technology maturity</v>
      </c>
      <c r="B9" s="5">
        <f>'Tradeoff weights'!$D9*IF('Comm Payload'!B11&lt;=MIN('Technology maturity'!$A$2:$A$12),0,IF('Comm Payload'!B11&gt;=MAX('Technology maturity'!$A$2:$A$12),1,(1/'Technology maturity'!$B$16)*(1-EXP('Technology maturity'!$B$14*('Comm Payload'!B11-MIN('Technology maturity'!$A$2:$A$12))^'Technology maturity'!$B$15))))</f>
        <v>9.7142858568021045E-2</v>
      </c>
      <c r="C9" s="5">
        <f>'Tradeoff weights'!$D9*IF('Comm Payload'!C11&lt;=MIN('Technology maturity'!$A$2:$A$12),0,IF('Comm Payload'!C11&gt;=MAX('Technology maturity'!$A$2:$A$12),1,(1/'Technology maturity'!$B$16)*(1-EXP('Technology maturity'!$B$14*('Comm Payload'!C11-MIN('Technology maturity'!$A$2:$A$12))^'Technology maturity'!$B$15))))</f>
        <v>9.7142858568021045E-2</v>
      </c>
      <c r="D9" s="5">
        <f>'Tradeoff weights'!$D9*IF('Comm Payload'!D11&lt;=MIN('Technology maturity'!$A$2:$A$12),0,IF('Comm Payload'!D11&gt;=MAX('Technology maturity'!$A$2:$A$12),1,(1/'Technology maturity'!$B$16)*(1-EXP('Technology maturity'!$B$14*('Comm Payload'!D11-MIN('Technology maturity'!$A$2:$A$12))^'Technology maturity'!$B$15))))</f>
        <v>0.12142857246855589</v>
      </c>
      <c r="E9" s="5">
        <f>'Tradeoff weights'!$D9*IF('Comm Payload'!E11&lt;=MIN('Technology maturity'!$A$2:$A$12),0,IF('Comm Payload'!E11&gt;=MAX('Technology maturity'!$A$2:$A$12),1,(1/'Technology maturity'!$B$16)*(1-EXP('Technology maturity'!$B$14*('Comm Payload'!E11-MIN('Technology maturity'!$A$2:$A$12))^'Technology maturity'!$B$15))))</f>
        <v>0.12142857246855589</v>
      </c>
      <c r="F9" s="5">
        <f>'Tradeoff weights'!$D9*IF('Comm Payload'!F11&lt;=MIN('Technology maturity'!$A$2:$A$12),0,IF('Comm Payload'!F11&gt;=MAX('Technology maturity'!$A$2:$A$12),1,(1/'Technology maturity'!$B$16)*(1-EXP('Technology maturity'!$B$14*('Comm Payload'!F11-MIN('Technology maturity'!$A$2:$A$12))^'Technology maturity'!$B$15))))</f>
        <v>0.14571428636909076</v>
      </c>
      <c r="G9" s="5">
        <f>'Tradeoff weights'!$D9*IF('Comm Payload'!G11&lt;=MIN('Technology maturity'!$A$2:$A$12),0,IF('Comm Payload'!G11&gt;=MAX('Technology maturity'!$A$2:$A$12),1,(1/'Technology maturity'!$B$16)*(1-EXP('Technology maturity'!$B$14*('Comm Payload'!G11-MIN('Technology maturity'!$A$2:$A$12))^'Technology maturity'!$B$15))))</f>
        <v>7.2857144397860577E-2</v>
      </c>
      <c r="H9" s="5">
        <f>'Tradeoff weights'!$D9*IF('Comm Payload'!H11&lt;=MIN('Technology maturity'!$A$2:$A$12),0,IF('Comm Payload'!H11&gt;=MAX('Technology maturity'!$A$2:$A$12),1,(1/'Technology maturity'!$B$16)*(1-EXP('Technology maturity'!$B$14*('Comm Payload'!H11-MIN('Technology maturity'!$A$2:$A$12))^'Technology maturity'!$B$15))))</f>
        <v>0.14571428636909076</v>
      </c>
      <c r="I9" s="5">
        <f>'Tradeoff weights'!$D9*IF('Comm Payload'!I11&lt;=MIN('Technology maturity'!$A$2:$A$12),0,IF('Comm Payload'!I11&gt;=MAX('Technology maturity'!$A$2:$A$12),1,(1/'Technology maturity'!$B$16)*(1-EXP('Technology maturity'!$B$14*('Comm Payload'!I11-MIN('Technology maturity'!$A$2:$A$12))^'Technology maturity'!$B$15))))</f>
        <v>0.12142857246855589</v>
      </c>
      <c r="J9" s="5">
        <f>'Tradeoff weights'!$D9*IF('Comm Payload'!J11&lt;=MIN('Technology maturity'!$A$2:$A$12),0,IF('Comm Payload'!J11&gt;=MAX('Technology maturity'!$A$2:$A$12),1,(1/'Technology maturity'!$B$16)*(1-EXP('Technology maturity'!$B$14*('Comm Payload'!J11-MIN('Technology maturity'!$A$2:$A$12))^'Technology maturity'!$B$15))))</f>
        <v>0.17</v>
      </c>
    </row>
    <row r="11" spans="1:10" x14ac:dyDescent="0.25">
      <c r="A11" s="7" t="s">
        <v>84</v>
      </c>
      <c r="B11" s="5">
        <f t="shared" ref="B11:J11" si="0">SUM(B2:B9)</f>
        <v>0.48428461310455806</v>
      </c>
      <c r="C11" s="5">
        <f t="shared" si="0"/>
        <v>0.62371071262859334</v>
      </c>
      <c r="D11" s="5">
        <f t="shared" si="0"/>
        <v>0.9270952084007833</v>
      </c>
      <c r="E11" s="5">
        <f t="shared" si="0"/>
        <v>0.78964020998113571</v>
      </c>
      <c r="F11" s="5">
        <f t="shared" si="0"/>
        <v>0.5948331706620319</v>
      </c>
      <c r="G11" s="5">
        <f t="shared" si="0"/>
        <v>0.45542499770570188</v>
      </c>
      <c r="H11" s="5">
        <f t="shared" si="0"/>
        <v>0.62549743656291301</v>
      </c>
      <c r="I11" s="5">
        <f t="shared" si="0"/>
        <v>0.58928807435198682</v>
      </c>
      <c r="J11" s="5">
        <f t="shared" si="0"/>
        <v>0.2888678924539051</v>
      </c>
    </row>
    <row r="12" spans="1:10" x14ac:dyDescent="0.25">
      <c r="A12" s="7" t="s">
        <v>95</v>
      </c>
      <c r="B12" s="5">
        <f>'Comm Payload'!B26/1000</f>
        <v>3.64</v>
      </c>
      <c r="C12" s="5">
        <f>'Comm Payload'!C26/1000</f>
        <v>7.1420000000000003</v>
      </c>
      <c r="D12" s="5">
        <f>'Comm Payload'!D26/1000</f>
        <v>1378.914</v>
      </c>
      <c r="E12" s="5">
        <f>'Comm Payload'!E26/1000</f>
        <v>681.33199999999999</v>
      </c>
      <c r="F12" s="5">
        <f>'Comm Payload'!F26/1000</f>
        <v>50</v>
      </c>
      <c r="G12" s="5">
        <f>'Comm Payload'!G26/1000</f>
        <v>10</v>
      </c>
      <c r="H12" s="5">
        <f>'Comm Payload'!H26/1000</f>
        <v>25</v>
      </c>
      <c r="I12" s="5">
        <f>'Comm Payload'!I26/1000</f>
        <v>25</v>
      </c>
      <c r="J12" s="5">
        <f>'Comm Payload'!J26/1000</f>
        <v>5</v>
      </c>
    </row>
    <row r="14" spans="1:10" x14ac:dyDescent="0.25">
      <c r="A14" s="7" t="s">
        <v>85</v>
      </c>
    </row>
    <row r="15" spans="1:10" x14ac:dyDescent="0.25">
      <c r="A15" t="str">
        <f>'Tradeoff weights'!A13</f>
        <v>Flexibility</v>
      </c>
    </row>
    <row r="16" spans="1:10" x14ac:dyDescent="0.25">
      <c r="A16" t="str">
        <f>'Tradeoff weights'!A14</f>
        <v>Performance</v>
      </c>
    </row>
    <row r="17" spans="1:1" x14ac:dyDescent="0.25">
      <c r="A17" t="str">
        <f>'Tradeoff weights'!A15</f>
        <v>Readiness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B7" sqref="B7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7" t="s">
        <v>86</v>
      </c>
      <c r="B1" s="7" t="s">
        <v>66</v>
      </c>
      <c r="P1" t="s">
        <v>69</v>
      </c>
      <c r="Q1" t="s">
        <v>70</v>
      </c>
    </row>
    <row r="2" spans="1:20" x14ac:dyDescent="0.25">
      <c r="A2">
        <v>50</v>
      </c>
      <c r="B2">
        <v>0</v>
      </c>
      <c r="P2" s="5">
        <f>(1-EXP($B$6*(A2-MIN($A$2:$A$4))^$B$7))/$B$8</f>
        <v>0</v>
      </c>
      <c r="Q2" s="5">
        <f>(P2-B2)^2</f>
        <v>0</v>
      </c>
    </row>
    <row r="3" spans="1:20" x14ac:dyDescent="0.25">
      <c r="A3">
        <v>150</v>
      </c>
      <c r="B3">
        <v>0.7</v>
      </c>
      <c r="P3" s="5">
        <f t="shared" ref="P3:P4" si="0">(1-EXP($B$6*(A3-MIN($A$2:$A$4))^$B$7))/$B$8</f>
        <v>0.70000000000857654</v>
      </c>
      <c r="Q3" s="5">
        <f t="shared" ref="Q3:Q4" si="1">(P3-B3)^2</f>
        <v>7.3557791179870028E-23</v>
      </c>
      <c r="S3" t="s">
        <v>72</v>
      </c>
      <c r="T3" t="s">
        <v>73</v>
      </c>
    </row>
    <row r="4" spans="1:20" x14ac:dyDescent="0.25">
      <c r="A4">
        <v>250</v>
      </c>
      <c r="B4">
        <v>1</v>
      </c>
      <c r="P4" s="5">
        <f t="shared" si="0"/>
        <v>1</v>
      </c>
      <c r="Q4" s="5">
        <f t="shared" si="1"/>
        <v>0</v>
      </c>
      <c r="S4">
        <f>MIN(A2:A4)</f>
        <v>50</v>
      </c>
      <c r="T4">
        <f t="shared" ref="T4:T35" si="2">IF(S4&lt;=MIN($A$2:$A$4),0,IF(S4&gt;=MAX($A$2:$A$4),1,(1/$B$8)*(1-EXP($B$6*(S4-MIN($A$2:$A$4))^$B$7))))</f>
        <v>0</v>
      </c>
    </row>
    <row r="5" spans="1:20" x14ac:dyDescent="0.25">
      <c r="S5">
        <f t="shared" ref="S5:S36" si="3">S4+(MAX($A$2:$A$4)-$S$4)/50</f>
        <v>54</v>
      </c>
      <c r="T5">
        <f t="shared" si="2"/>
        <v>4.0821921157247879E-2</v>
      </c>
    </row>
    <row r="6" spans="1:20" x14ac:dyDescent="0.25">
      <c r="A6" t="s">
        <v>67</v>
      </c>
      <c r="B6" s="6">
        <v>-8.4729786042804477E-3</v>
      </c>
      <c r="O6" t="s">
        <v>71</v>
      </c>
      <c r="Q6" s="5">
        <f>SUM(Q2:Q4)</f>
        <v>7.3557791179870028E-23</v>
      </c>
      <c r="S6">
        <f t="shared" si="3"/>
        <v>58</v>
      </c>
      <c r="T6">
        <f t="shared" si="2"/>
        <v>8.0283491908782104E-2</v>
      </c>
    </row>
    <row r="7" spans="1:20" x14ac:dyDescent="0.25">
      <c r="A7" t="s">
        <v>74</v>
      </c>
      <c r="B7" s="5">
        <v>1</v>
      </c>
      <c r="S7">
        <f t="shared" si="3"/>
        <v>62</v>
      </c>
      <c r="T7">
        <f t="shared" si="2"/>
        <v>0.11843004459501844</v>
      </c>
    </row>
    <row r="8" spans="1:20" x14ac:dyDescent="0.25">
      <c r="A8" t="s">
        <v>68</v>
      </c>
      <c r="B8" s="5">
        <f>1-EXP($B$6*(MAX($A$2:$A$4)-MIN($A$2:$A$4))^$B$7)</f>
        <v>0.8163265306272478</v>
      </c>
      <c r="S8">
        <f t="shared" si="3"/>
        <v>66</v>
      </c>
      <c r="T8">
        <f t="shared" si="2"/>
        <v>0.15530540090067765</v>
      </c>
    </row>
    <row r="9" spans="1:20" x14ac:dyDescent="0.25">
      <c r="S9">
        <f t="shared" si="3"/>
        <v>70</v>
      </c>
      <c r="T9">
        <f t="shared" si="2"/>
        <v>0.19095192219590212</v>
      </c>
    </row>
    <row r="10" spans="1:20" x14ac:dyDescent="0.25">
      <c r="S10">
        <f t="shared" si="3"/>
        <v>74</v>
      </c>
      <c r="T10">
        <f t="shared" si="2"/>
        <v>0.22541055819980355</v>
      </c>
    </row>
    <row r="11" spans="1:20" x14ac:dyDescent="0.25">
      <c r="S11">
        <f t="shared" si="3"/>
        <v>78</v>
      </c>
      <c r="T11">
        <f t="shared" si="2"/>
        <v>0.25872089402234716</v>
      </c>
    </row>
    <row r="12" spans="1:20" x14ac:dyDescent="0.25">
      <c r="S12">
        <f t="shared" si="3"/>
        <v>82</v>
      </c>
      <c r="T12">
        <f t="shared" si="2"/>
        <v>0.29092119563860974</v>
      </c>
    </row>
    <row r="13" spans="1:20" x14ac:dyDescent="0.25">
      <c r="S13">
        <f t="shared" si="3"/>
        <v>86</v>
      </c>
      <c r="T13">
        <f t="shared" si="2"/>
        <v>0.32204845384765363</v>
      </c>
    </row>
    <row r="14" spans="1:20" x14ac:dyDescent="0.25">
      <c r="S14">
        <f t="shared" si="3"/>
        <v>90</v>
      </c>
      <c r="T14">
        <f t="shared" si="2"/>
        <v>0.35213842676651447</v>
      </c>
    </row>
    <row r="15" spans="1:20" x14ac:dyDescent="0.25">
      <c r="S15">
        <f t="shared" si="3"/>
        <v>94</v>
      </c>
      <c r="T15">
        <f t="shared" si="2"/>
        <v>0.38122568090811804</v>
      </c>
    </row>
    <row r="16" spans="1:20" x14ac:dyDescent="0.25">
      <c r="S16">
        <f t="shared" si="3"/>
        <v>98</v>
      </c>
      <c r="T16">
        <f t="shared" si="2"/>
        <v>0.40934363089031661</v>
      </c>
    </row>
    <row r="17" spans="19:20" x14ac:dyDescent="0.25">
      <c r="S17">
        <f t="shared" si="3"/>
        <v>102</v>
      </c>
      <c r="T17">
        <f t="shared" si="2"/>
        <v>0.43652457782165993</v>
      </c>
    </row>
    <row r="18" spans="19:20" x14ac:dyDescent="0.25">
      <c r="S18">
        <f t="shared" si="3"/>
        <v>106</v>
      </c>
      <c r="T18">
        <f t="shared" si="2"/>
        <v>0.4627997464079982</v>
      </c>
    </row>
    <row r="19" spans="19:20" x14ac:dyDescent="0.25">
      <c r="S19">
        <f t="shared" si="3"/>
        <v>110</v>
      </c>
      <c r="T19">
        <f t="shared" si="2"/>
        <v>0.48819932082254502</v>
      </c>
    </row>
    <row r="20" spans="19:20" x14ac:dyDescent="0.25">
      <c r="S20">
        <f t="shared" si="3"/>
        <v>114</v>
      </c>
      <c r="T20">
        <f t="shared" si="2"/>
        <v>0.51275247938060409</v>
      </c>
    </row>
    <row r="21" spans="19:20" x14ac:dyDescent="0.25">
      <c r="S21">
        <f t="shared" si="3"/>
        <v>118</v>
      </c>
      <c r="T21">
        <f t="shared" si="2"/>
        <v>0.53648742805879646</v>
      </c>
    </row>
    <row r="22" spans="19:20" x14ac:dyDescent="0.25">
      <c r="S22">
        <f t="shared" si="3"/>
        <v>122</v>
      </c>
      <c r="T22">
        <f t="shared" si="2"/>
        <v>0.55943143289729047</v>
      </c>
    </row>
    <row r="23" spans="19:20" x14ac:dyDescent="0.25">
      <c r="S23">
        <f t="shared" si="3"/>
        <v>126</v>
      </c>
      <c r="T23">
        <f t="shared" si="2"/>
        <v>0.58161085132226154</v>
      </c>
    </row>
    <row r="24" spans="19:20" x14ac:dyDescent="0.25">
      <c r="S24">
        <f t="shared" si="3"/>
        <v>130</v>
      </c>
      <c r="T24">
        <f t="shared" si="2"/>
        <v>0.60305116242455958</v>
      </c>
    </row>
    <row r="25" spans="19:20" x14ac:dyDescent="0.25">
      <c r="S25">
        <f t="shared" si="3"/>
        <v>134</v>
      </c>
      <c r="T25">
        <f t="shared" si="2"/>
        <v>0.62377699622937111</v>
      </c>
    </row>
    <row r="26" spans="19:20" x14ac:dyDescent="0.25">
      <c r="S26">
        <f t="shared" si="3"/>
        <v>138</v>
      </c>
      <c r="T26">
        <f t="shared" si="2"/>
        <v>0.64381216199049796</v>
      </c>
    </row>
    <row r="27" spans="19:20" x14ac:dyDescent="0.25">
      <c r="S27">
        <f t="shared" si="3"/>
        <v>142</v>
      </c>
      <c r="T27">
        <f t="shared" si="2"/>
        <v>0.66317967554175694</v>
      </c>
    </row>
    <row r="28" spans="19:20" x14ac:dyDescent="0.25">
      <c r="S28">
        <f t="shared" si="3"/>
        <v>146</v>
      </c>
      <c r="T28">
        <f t="shared" si="2"/>
        <v>0.68190178573692117</v>
      </c>
    </row>
    <row r="29" spans="19:20" x14ac:dyDescent="0.25">
      <c r="S29">
        <f t="shared" si="3"/>
        <v>150</v>
      </c>
      <c r="T29">
        <f t="shared" si="2"/>
        <v>0.70000000000857654</v>
      </c>
    </row>
    <row r="30" spans="19:20" x14ac:dyDescent="0.25">
      <c r="S30">
        <f t="shared" si="3"/>
        <v>154</v>
      </c>
      <c r="T30">
        <f t="shared" si="2"/>
        <v>0.71749510907525405</v>
      </c>
    </row>
    <row r="31" spans="19:20" x14ac:dyDescent="0.25">
      <c r="S31">
        <f t="shared" si="3"/>
        <v>158</v>
      </c>
      <c r="T31">
        <f t="shared" si="2"/>
        <v>0.73440721082522087</v>
      </c>
    </row>
    <row r="32" spans="19:20" x14ac:dyDescent="0.25">
      <c r="S32">
        <f t="shared" si="3"/>
        <v>162</v>
      </c>
      <c r="T32">
        <f t="shared" si="2"/>
        <v>0.75075573340436874</v>
      </c>
    </row>
    <row r="33" spans="19:20" x14ac:dyDescent="0.25">
      <c r="S33">
        <f t="shared" si="3"/>
        <v>166</v>
      </c>
      <c r="T33">
        <f t="shared" si="2"/>
        <v>0.76655945753472021</v>
      </c>
    </row>
    <row r="34" spans="19:20" x14ac:dyDescent="0.25">
      <c r="S34">
        <f t="shared" si="3"/>
        <v>170</v>
      </c>
      <c r="T34">
        <f t="shared" si="2"/>
        <v>0.7818365380891924</v>
      </c>
    </row>
    <row r="35" spans="19:20" x14ac:dyDescent="0.25">
      <c r="S35">
        <f t="shared" si="3"/>
        <v>174</v>
      </c>
      <c r="T35">
        <f t="shared" si="2"/>
        <v>0.79660452494740419</v>
      </c>
    </row>
    <row r="36" spans="19:20" x14ac:dyDescent="0.25">
      <c r="S36">
        <f t="shared" si="3"/>
        <v>178</v>
      </c>
      <c r="T36">
        <f t="shared" ref="T36:T67" si="4">IF(S36&lt;=MIN($A$2:$A$4),0,IF(S36&gt;=MAX($A$2:$A$4),1,(1/$B$8)*(1-EXP($B$6*(S36-MIN($A$2:$A$4))^$B$7))))</f>
        <v>0.8108803831564827</v>
      </c>
    </row>
    <row r="37" spans="19:20" x14ac:dyDescent="0.25">
      <c r="S37">
        <f t="shared" ref="S37:S68" si="5">S36+(MAX($A$2:$A$4)-$S$4)/50</f>
        <v>182</v>
      </c>
      <c r="T37">
        <f t="shared" si="4"/>
        <v>0.8246805124200316</v>
      </c>
    </row>
    <row r="38" spans="19:20" x14ac:dyDescent="0.25">
      <c r="S38">
        <f t="shared" si="5"/>
        <v>186</v>
      </c>
      <c r="T38">
        <f t="shared" si="4"/>
        <v>0.83802076593764829</v>
      </c>
    </row>
    <row r="39" spans="19:20" x14ac:dyDescent="0.25">
      <c r="S39">
        <f t="shared" si="5"/>
        <v>190</v>
      </c>
      <c r="T39">
        <f t="shared" si="4"/>
        <v>0.8509164686166335</v>
      </c>
    </row>
    <row r="40" spans="19:20" x14ac:dyDescent="0.25">
      <c r="S40">
        <f t="shared" si="5"/>
        <v>194</v>
      </c>
      <c r="T40">
        <f t="shared" si="4"/>
        <v>0.86338243467681175</v>
      </c>
    </row>
    <row r="41" spans="19:20" x14ac:dyDescent="0.25">
      <c r="S41">
        <f t="shared" si="5"/>
        <v>198</v>
      </c>
      <c r="T41">
        <f t="shared" si="4"/>
        <v>0.87543298466869035</v>
      </c>
    </row>
    <row r="42" spans="19:20" x14ac:dyDescent="0.25">
      <c r="S42">
        <f t="shared" si="5"/>
        <v>202</v>
      </c>
      <c r="T42">
        <f t="shared" si="4"/>
        <v>0.8870819619245045</v>
      </c>
    </row>
    <row r="43" spans="19:20" x14ac:dyDescent="0.25">
      <c r="S43">
        <f t="shared" si="5"/>
        <v>206</v>
      </c>
      <c r="T43">
        <f t="shared" si="4"/>
        <v>0.89834274846104678</v>
      </c>
    </row>
    <row r="44" spans="19:20" x14ac:dyDescent="0.25">
      <c r="S44">
        <f t="shared" si="5"/>
        <v>210</v>
      </c>
      <c r="T44">
        <f t="shared" si="4"/>
        <v>0.90922828035255088</v>
      </c>
    </row>
    <row r="45" spans="19:20" x14ac:dyDescent="0.25">
      <c r="S45">
        <f t="shared" si="5"/>
        <v>214</v>
      </c>
      <c r="T45">
        <f t="shared" si="4"/>
        <v>0.91975106259128925</v>
      </c>
    </row>
    <row r="46" spans="19:20" x14ac:dyDescent="0.25">
      <c r="S46">
        <f t="shared" si="5"/>
        <v>218</v>
      </c>
      <c r="T46">
        <f t="shared" si="4"/>
        <v>0.92992318345295621</v>
      </c>
    </row>
    <row r="47" spans="19:20" x14ac:dyDescent="0.25">
      <c r="S47">
        <f t="shared" si="5"/>
        <v>222</v>
      </c>
      <c r="T47">
        <f t="shared" si="4"/>
        <v>0.93975632838333789</v>
      </c>
    </row>
    <row r="48" spans="19:20" x14ac:dyDescent="0.25">
      <c r="S48">
        <f t="shared" si="5"/>
        <v>226</v>
      </c>
      <c r="T48">
        <f t="shared" si="4"/>
        <v>0.94926179342222294</v>
      </c>
    </row>
    <row r="49" spans="19:20" x14ac:dyDescent="0.25">
      <c r="S49">
        <f t="shared" si="5"/>
        <v>230</v>
      </c>
      <c r="T49">
        <f t="shared" si="4"/>
        <v>0.9584504981799753</v>
      </c>
    </row>
    <row r="50" spans="19:20" x14ac:dyDescent="0.25">
      <c r="S50">
        <f t="shared" si="5"/>
        <v>234</v>
      </c>
      <c r="T50">
        <f t="shared" si="4"/>
        <v>0.96733299838167464</v>
      </c>
    </row>
    <row r="51" spans="19:20" x14ac:dyDescent="0.25">
      <c r="S51">
        <f t="shared" si="5"/>
        <v>238</v>
      </c>
      <c r="T51">
        <f t="shared" si="4"/>
        <v>0.97591949799323541</v>
      </c>
    </row>
    <row r="52" spans="19:20" x14ac:dyDescent="0.25">
      <c r="S52">
        <f t="shared" si="5"/>
        <v>242</v>
      </c>
      <c r="T52">
        <f t="shared" si="4"/>
        <v>0.98421986094343605</v>
      </c>
    </row>
    <row r="53" spans="19:20" x14ac:dyDescent="0.25">
      <c r="S53">
        <f t="shared" si="5"/>
        <v>246</v>
      </c>
      <c r="T53">
        <f t="shared" si="4"/>
        <v>0.99224362245532149</v>
      </c>
    </row>
    <row r="54" spans="19:20" x14ac:dyDescent="0.25">
      <c r="S54">
        <f t="shared" si="5"/>
        <v>250</v>
      </c>
      <c r="T54">
        <f t="shared" si="4"/>
        <v>1</v>
      </c>
    </row>
    <row r="55" spans="19:20" x14ac:dyDescent="0.25">
      <c r="S55">
        <f t="shared" si="5"/>
        <v>254</v>
      </c>
      <c r="T55">
        <f t="shared" si="4"/>
        <v>1</v>
      </c>
    </row>
    <row r="56" spans="19:20" x14ac:dyDescent="0.25">
      <c r="S56">
        <f t="shared" si="5"/>
        <v>258</v>
      </c>
      <c r="T56">
        <f t="shared" si="4"/>
        <v>1</v>
      </c>
    </row>
    <row r="57" spans="19:20" x14ac:dyDescent="0.25">
      <c r="S57">
        <f t="shared" si="5"/>
        <v>262</v>
      </c>
      <c r="T57">
        <f t="shared" si="4"/>
        <v>1</v>
      </c>
    </row>
    <row r="58" spans="19:20" x14ac:dyDescent="0.25">
      <c r="S58">
        <f t="shared" si="5"/>
        <v>266</v>
      </c>
      <c r="T58">
        <f t="shared" si="4"/>
        <v>1</v>
      </c>
    </row>
    <row r="59" spans="19:20" x14ac:dyDescent="0.25">
      <c r="S59">
        <f t="shared" si="5"/>
        <v>270</v>
      </c>
      <c r="T59">
        <f t="shared" si="4"/>
        <v>1</v>
      </c>
    </row>
    <row r="60" spans="19:20" x14ac:dyDescent="0.25">
      <c r="S60">
        <f t="shared" si="5"/>
        <v>274</v>
      </c>
      <c r="T60">
        <f t="shared" si="4"/>
        <v>1</v>
      </c>
    </row>
    <row r="61" spans="19:20" x14ac:dyDescent="0.25">
      <c r="S61">
        <f t="shared" si="5"/>
        <v>278</v>
      </c>
      <c r="T61">
        <f t="shared" si="4"/>
        <v>1</v>
      </c>
    </row>
    <row r="62" spans="19:20" x14ac:dyDescent="0.25">
      <c r="S62">
        <f t="shared" si="5"/>
        <v>282</v>
      </c>
      <c r="T62">
        <f t="shared" si="4"/>
        <v>1</v>
      </c>
    </row>
    <row r="63" spans="19:20" x14ac:dyDescent="0.25">
      <c r="S63">
        <f t="shared" si="5"/>
        <v>286</v>
      </c>
      <c r="T63">
        <f t="shared" si="4"/>
        <v>1</v>
      </c>
    </row>
    <row r="64" spans="19:20" x14ac:dyDescent="0.25">
      <c r="S64">
        <f t="shared" si="5"/>
        <v>290</v>
      </c>
      <c r="T64">
        <f t="shared" si="4"/>
        <v>1</v>
      </c>
    </row>
    <row r="65" spans="19:20" x14ac:dyDescent="0.25">
      <c r="S65">
        <f t="shared" si="5"/>
        <v>294</v>
      </c>
      <c r="T65">
        <f t="shared" si="4"/>
        <v>1</v>
      </c>
    </row>
    <row r="66" spans="19:20" x14ac:dyDescent="0.25">
      <c r="S66">
        <f t="shared" si="5"/>
        <v>298</v>
      </c>
      <c r="T66">
        <f t="shared" si="4"/>
        <v>1</v>
      </c>
    </row>
    <row r="67" spans="19:20" x14ac:dyDescent="0.25">
      <c r="S67">
        <f t="shared" si="5"/>
        <v>302</v>
      </c>
      <c r="T67">
        <f t="shared" si="4"/>
        <v>1</v>
      </c>
    </row>
    <row r="68" spans="19:20" x14ac:dyDescent="0.25">
      <c r="S68">
        <f t="shared" si="5"/>
        <v>306</v>
      </c>
      <c r="T68">
        <f t="shared" ref="T68:T99" si="6">IF(S68&lt;=MIN($A$2:$A$4),0,IF(S68&gt;=MAX($A$2:$A$4),1,(1/$B$8)*(1-EXP($B$6*(S68-MIN($A$2:$A$4))^$B$7))))</f>
        <v>1</v>
      </c>
    </row>
    <row r="69" spans="19:20" x14ac:dyDescent="0.25">
      <c r="S69">
        <f t="shared" ref="S69:S105" si="7">S68+(MAX($A$2:$A$4)-$S$4)/50</f>
        <v>310</v>
      </c>
      <c r="T69">
        <f t="shared" si="6"/>
        <v>1</v>
      </c>
    </row>
    <row r="70" spans="19:20" x14ac:dyDescent="0.25">
      <c r="S70">
        <f t="shared" si="7"/>
        <v>314</v>
      </c>
      <c r="T70">
        <f t="shared" si="6"/>
        <v>1</v>
      </c>
    </row>
    <row r="71" spans="19:20" x14ac:dyDescent="0.25">
      <c r="S71">
        <f t="shared" si="7"/>
        <v>318</v>
      </c>
      <c r="T71">
        <f t="shared" si="6"/>
        <v>1</v>
      </c>
    </row>
    <row r="72" spans="19:20" x14ac:dyDescent="0.25">
      <c r="S72">
        <f t="shared" si="7"/>
        <v>322</v>
      </c>
      <c r="T72">
        <f t="shared" si="6"/>
        <v>1</v>
      </c>
    </row>
    <row r="73" spans="19:20" x14ac:dyDescent="0.25">
      <c r="S73">
        <f t="shared" si="7"/>
        <v>326</v>
      </c>
      <c r="T73">
        <f t="shared" si="6"/>
        <v>1</v>
      </c>
    </row>
    <row r="74" spans="19:20" x14ac:dyDescent="0.25">
      <c r="S74">
        <f t="shared" si="7"/>
        <v>330</v>
      </c>
      <c r="T74">
        <f t="shared" si="6"/>
        <v>1</v>
      </c>
    </row>
    <row r="75" spans="19:20" x14ac:dyDescent="0.25">
      <c r="S75">
        <f t="shared" si="7"/>
        <v>334</v>
      </c>
      <c r="T75">
        <f t="shared" si="6"/>
        <v>1</v>
      </c>
    </row>
    <row r="76" spans="19:20" x14ac:dyDescent="0.25">
      <c r="S76">
        <f t="shared" si="7"/>
        <v>338</v>
      </c>
      <c r="T76">
        <f t="shared" si="6"/>
        <v>1</v>
      </c>
    </row>
    <row r="77" spans="19:20" x14ac:dyDescent="0.25">
      <c r="S77">
        <f t="shared" si="7"/>
        <v>342</v>
      </c>
      <c r="T77">
        <f t="shared" si="6"/>
        <v>1</v>
      </c>
    </row>
    <row r="78" spans="19:20" x14ac:dyDescent="0.25">
      <c r="S78">
        <f t="shared" si="7"/>
        <v>346</v>
      </c>
      <c r="T78">
        <f t="shared" si="6"/>
        <v>1</v>
      </c>
    </row>
    <row r="79" spans="19:20" x14ac:dyDescent="0.25">
      <c r="S79">
        <f t="shared" si="7"/>
        <v>350</v>
      </c>
      <c r="T79">
        <f t="shared" si="6"/>
        <v>1</v>
      </c>
    </row>
    <row r="80" spans="19:20" x14ac:dyDescent="0.25">
      <c r="S80">
        <f t="shared" si="7"/>
        <v>354</v>
      </c>
      <c r="T80">
        <f t="shared" si="6"/>
        <v>1</v>
      </c>
    </row>
    <row r="81" spans="19:20" x14ac:dyDescent="0.25">
      <c r="S81">
        <f t="shared" si="7"/>
        <v>358</v>
      </c>
      <c r="T81">
        <f t="shared" si="6"/>
        <v>1</v>
      </c>
    </row>
    <row r="82" spans="19:20" x14ac:dyDescent="0.25">
      <c r="S82">
        <f t="shared" si="7"/>
        <v>362</v>
      </c>
      <c r="T82">
        <f t="shared" si="6"/>
        <v>1</v>
      </c>
    </row>
    <row r="83" spans="19:20" x14ac:dyDescent="0.25">
      <c r="S83">
        <f t="shared" si="7"/>
        <v>366</v>
      </c>
      <c r="T83">
        <f t="shared" si="6"/>
        <v>1</v>
      </c>
    </row>
    <row r="84" spans="19:20" x14ac:dyDescent="0.25">
      <c r="S84">
        <f t="shared" si="7"/>
        <v>370</v>
      </c>
      <c r="T84">
        <f t="shared" si="6"/>
        <v>1</v>
      </c>
    </row>
    <row r="85" spans="19:20" x14ac:dyDescent="0.25">
      <c r="S85">
        <f t="shared" si="7"/>
        <v>374</v>
      </c>
      <c r="T85">
        <f t="shared" si="6"/>
        <v>1</v>
      </c>
    </row>
    <row r="86" spans="19:20" x14ac:dyDescent="0.25">
      <c r="S86">
        <f t="shared" si="7"/>
        <v>378</v>
      </c>
      <c r="T86">
        <f t="shared" si="6"/>
        <v>1</v>
      </c>
    </row>
    <row r="87" spans="19:20" x14ac:dyDescent="0.25">
      <c r="S87">
        <f t="shared" si="7"/>
        <v>382</v>
      </c>
      <c r="T87">
        <f t="shared" si="6"/>
        <v>1</v>
      </c>
    </row>
    <row r="88" spans="19:20" x14ac:dyDescent="0.25">
      <c r="S88">
        <f t="shared" si="7"/>
        <v>386</v>
      </c>
      <c r="T88">
        <f t="shared" si="6"/>
        <v>1</v>
      </c>
    </row>
    <row r="89" spans="19:20" x14ac:dyDescent="0.25">
      <c r="S89">
        <f t="shared" si="7"/>
        <v>390</v>
      </c>
      <c r="T89">
        <f t="shared" si="6"/>
        <v>1</v>
      </c>
    </row>
    <row r="90" spans="19:20" x14ac:dyDescent="0.25">
      <c r="S90">
        <f t="shared" si="7"/>
        <v>394</v>
      </c>
      <c r="T90">
        <f t="shared" si="6"/>
        <v>1</v>
      </c>
    </row>
    <row r="91" spans="19:20" x14ac:dyDescent="0.25">
      <c r="S91">
        <f t="shared" si="7"/>
        <v>398</v>
      </c>
      <c r="T91">
        <f t="shared" si="6"/>
        <v>1</v>
      </c>
    </row>
    <row r="92" spans="19:20" x14ac:dyDescent="0.25">
      <c r="S92">
        <f t="shared" si="7"/>
        <v>402</v>
      </c>
      <c r="T92">
        <f t="shared" si="6"/>
        <v>1</v>
      </c>
    </row>
    <row r="93" spans="19:20" x14ac:dyDescent="0.25">
      <c r="S93">
        <f t="shared" si="7"/>
        <v>406</v>
      </c>
      <c r="T93">
        <f t="shared" si="6"/>
        <v>1</v>
      </c>
    </row>
    <row r="94" spans="19:20" x14ac:dyDescent="0.25">
      <c r="S94">
        <f t="shared" si="7"/>
        <v>410</v>
      </c>
      <c r="T94">
        <f t="shared" si="6"/>
        <v>1</v>
      </c>
    </row>
    <row r="95" spans="19:20" x14ac:dyDescent="0.25">
      <c r="S95">
        <f t="shared" si="7"/>
        <v>414</v>
      </c>
      <c r="T95">
        <f t="shared" si="6"/>
        <v>1</v>
      </c>
    </row>
    <row r="96" spans="19:20" x14ac:dyDescent="0.25">
      <c r="S96">
        <f t="shared" si="7"/>
        <v>418</v>
      </c>
      <c r="T96">
        <f t="shared" si="6"/>
        <v>1</v>
      </c>
    </row>
    <row r="97" spans="19:20" x14ac:dyDescent="0.25">
      <c r="S97">
        <f t="shared" si="7"/>
        <v>422</v>
      </c>
      <c r="T97">
        <f t="shared" si="6"/>
        <v>1</v>
      </c>
    </row>
    <row r="98" spans="19:20" x14ac:dyDescent="0.25">
      <c r="S98">
        <f t="shared" si="7"/>
        <v>426</v>
      </c>
      <c r="T98">
        <f t="shared" si="6"/>
        <v>1</v>
      </c>
    </row>
    <row r="99" spans="19:20" x14ac:dyDescent="0.25">
      <c r="S99">
        <f t="shared" si="7"/>
        <v>430</v>
      </c>
      <c r="T99">
        <f t="shared" si="6"/>
        <v>1</v>
      </c>
    </row>
    <row r="100" spans="19:20" x14ac:dyDescent="0.25">
      <c r="S100">
        <f t="shared" si="7"/>
        <v>434</v>
      </c>
      <c r="T100">
        <f t="shared" ref="T100:T131" si="8">IF(S100&lt;=MIN($A$2:$A$4),0,IF(S100&gt;=MAX($A$2:$A$4),1,(1/$B$8)*(1-EXP($B$6*(S100-MIN($A$2:$A$4))^$B$7))))</f>
        <v>1</v>
      </c>
    </row>
    <row r="101" spans="19:20" x14ac:dyDescent="0.25">
      <c r="S101">
        <f t="shared" si="7"/>
        <v>438</v>
      </c>
      <c r="T101">
        <f t="shared" si="8"/>
        <v>1</v>
      </c>
    </row>
    <row r="102" spans="19:20" x14ac:dyDescent="0.25">
      <c r="S102">
        <f t="shared" si="7"/>
        <v>442</v>
      </c>
      <c r="T102">
        <f t="shared" si="8"/>
        <v>1</v>
      </c>
    </row>
    <row r="103" spans="19:20" x14ac:dyDescent="0.25">
      <c r="S103">
        <f t="shared" si="7"/>
        <v>446</v>
      </c>
      <c r="T103">
        <f t="shared" si="8"/>
        <v>1</v>
      </c>
    </row>
    <row r="104" spans="19:20" x14ac:dyDescent="0.25">
      <c r="S104">
        <f t="shared" si="7"/>
        <v>450</v>
      </c>
      <c r="T104">
        <f t="shared" si="8"/>
        <v>1</v>
      </c>
    </row>
    <row r="105" spans="19:20" x14ac:dyDescent="0.25">
      <c r="S105">
        <f t="shared" si="7"/>
        <v>454</v>
      </c>
      <c r="T105">
        <f t="shared" si="8"/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A2" sqref="A2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7" t="s">
        <v>87</v>
      </c>
      <c r="B1" s="7" t="s">
        <v>66</v>
      </c>
      <c r="P1" t="s">
        <v>69</v>
      </c>
      <c r="Q1" t="s">
        <v>70</v>
      </c>
    </row>
    <row r="2" spans="1:20" x14ac:dyDescent="0.25">
      <c r="A2">
        <v>0</v>
      </c>
      <c r="B2">
        <v>0</v>
      </c>
      <c r="P2" s="5">
        <f>(1-EXP($B$14*(A2-MIN($A$2:$A$12))^$B$15))/$B$16</f>
        <v>0</v>
      </c>
      <c r="Q2" s="5">
        <f>(P2-B2)^2</f>
        <v>0</v>
      </c>
    </row>
    <row r="3" spans="1:20" x14ac:dyDescent="0.25">
      <c r="A3">
        <v>40</v>
      </c>
      <c r="B3">
        <v>0.2</v>
      </c>
      <c r="P3" s="5">
        <f t="shared" ref="P3:P12" si="0">(1-EXP($B$14*(A3-MIN($A$2:$A$12))^$B$15))/$B$16</f>
        <v>0.22912259743627791</v>
      </c>
      <c r="Q3" s="5">
        <f t="shared" ref="Q3:Q12" si="1">(P3-B3)^2</f>
        <v>8.4812568143550029E-4</v>
      </c>
      <c r="S3" t="s">
        <v>72</v>
      </c>
      <c r="T3" t="s">
        <v>73</v>
      </c>
    </row>
    <row r="4" spans="1:20" x14ac:dyDescent="0.25">
      <c r="A4">
        <v>70</v>
      </c>
      <c r="B4">
        <v>0.4</v>
      </c>
      <c r="P4" s="5">
        <f t="shared" si="0"/>
        <v>0.37209649438816461</v>
      </c>
      <c r="Q4" s="5">
        <f t="shared" si="1"/>
        <v>7.7860562542973028E-4</v>
      </c>
      <c r="S4">
        <f>MIN(A2:A12)</f>
        <v>0</v>
      </c>
      <c r="T4">
        <f>IF(S4&lt;=MIN($A$2:$A$12),0,IF(S4&gt;=MAX($A$2:$A$12),1,(1/$B$16)*(1-EXP($B$14*(S4-MIN($A$2:$A$12))^$B$15))))</f>
        <v>0</v>
      </c>
    </row>
    <row r="5" spans="1:20" x14ac:dyDescent="0.25">
      <c r="A5">
        <v>100</v>
      </c>
      <c r="B5">
        <v>0.5</v>
      </c>
      <c r="P5" s="5">
        <f t="shared" si="0"/>
        <v>0.49117348506501607</v>
      </c>
      <c r="Q5" s="5">
        <f t="shared" si="1"/>
        <v>7.7907365897494389E-5</v>
      </c>
      <c r="S5">
        <f>S4+(MAX($A$2:$A$12)-$S$4)/50</f>
        <v>10</v>
      </c>
      <c r="T5">
        <f t="shared" ref="T5:T68" si="2">IF(S5&lt;=MIN($A$2:$A$12),0,IF(S5&gt;=MAX($A$2:$A$12),1,(1/$B$16)*(1-EXP($B$14*(S5-MIN($A$2:$A$12))^$B$15))))</f>
        <v>6.02127596839927E-2</v>
      </c>
    </row>
    <row r="6" spans="1:20" x14ac:dyDescent="0.25">
      <c r="A6">
        <v>135</v>
      </c>
      <c r="B6">
        <v>0.6</v>
      </c>
      <c r="P6" s="5">
        <f t="shared" si="0"/>
        <v>0.60435645662747894</v>
      </c>
      <c r="Q6" s="5">
        <f t="shared" si="1"/>
        <v>1.8978714347105408E-5</v>
      </c>
      <c r="S6">
        <f t="shared" ref="S6:S69" si="3">S5+(MAX($A$2:$A$12)-$S$4)/50</f>
        <v>20</v>
      </c>
      <c r="T6">
        <f t="shared" si="2"/>
        <v>0.11929751489610434</v>
      </c>
    </row>
    <row r="7" spans="1:20" x14ac:dyDescent="0.25">
      <c r="A7">
        <v>180</v>
      </c>
      <c r="B7">
        <v>0.7</v>
      </c>
      <c r="P7" s="5">
        <f t="shared" si="0"/>
        <v>0.71686103116160582</v>
      </c>
      <c r="Q7" s="5">
        <f t="shared" si="1"/>
        <v>2.8429437183264409E-4</v>
      </c>
      <c r="S7">
        <f t="shared" si="3"/>
        <v>30</v>
      </c>
      <c r="T7">
        <f t="shared" si="2"/>
        <v>0.17567547823899818</v>
      </c>
    </row>
    <row r="8" spans="1:20" x14ac:dyDescent="0.25">
      <c r="A8">
        <v>220</v>
      </c>
      <c r="B8">
        <v>0.8</v>
      </c>
      <c r="P8" s="5">
        <f t="shared" si="0"/>
        <v>0.79243315291660277</v>
      </c>
      <c r="Q8" s="5">
        <f t="shared" si="1"/>
        <v>5.7257174783517877E-5</v>
      </c>
      <c r="S8">
        <f t="shared" si="3"/>
        <v>40</v>
      </c>
      <c r="T8">
        <f t="shared" si="2"/>
        <v>0.22912259743627791</v>
      </c>
    </row>
    <row r="9" spans="1:20" x14ac:dyDescent="0.25">
      <c r="A9">
        <v>260</v>
      </c>
      <c r="B9">
        <v>0.85</v>
      </c>
      <c r="P9" s="5">
        <f t="shared" si="0"/>
        <v>0.85035044731469556</v>
      </c>
      <c r="Q9" s="5">
        <f t="shared" si="1"/>
        <v>1.2281332037734209E-7</v>
      </c>
      <c r="S9">
        <f t="shared" si="3"/>
        <v>50</v>
      </c>
      <c r="T9">
        <f t="shared" si="2"/>
        <v>0.27962579274341476</v>
      </c>
    </row>
    <row r="10" spans="1:20" x14ac:dyDescent="0.25">
      <c r="A10">
        <v>300</v>
      </c>
      <c r="B10">
        <v>0.9</v>
      </c>
      <c r="P10" s="5">
        <f t="shared" si="0"/>
        <v>0.89463556892906659</v>
      </c>
      <c r="Q10" s="5">
        <f t="shared" si="1"/>
        <v>2.8777120714795973E-5</v>
      </c>
      <c r="S10">
        <f t="shared" si="3"/>
        <v>60</v>
      </c>
      <c r="T10">
        <f t="shared" si="2"/>
        <v>0.32725023353091881</v>
      </c>
    </row>
    <row r="11" spans="1:20" x14ac:dyDescent="0.25">
      <c r="A11">
        <v>400</v>
      </c>
      <c r="B11">
        <v>0.95</v>
      </c>
      <c r="P11" s="5">
        <f t="shared" si="0"/>
        <v>0.96465914692061749</v>
      </c>
      <c r="Q11" s="5">
        <f t="shared" si="1"/>
        <v>2.1489058844025065E-4</v>
      </c>
      <c r="S11">
        <f t="shared" si="3"/>
        <v>70</v>
      </c>
      <c r="T11">
        <f t="shared" si="2"/>
        <v>0.37209649438816461</v>
      </c>
    </row>
    <row r="12" spans="1:20" x14ac:dyDescent="0.25">
      <c r="A12">
        <v>500</v>
      </c>
      <c r="B12">
        <v>1</v>
      </c>
      <c r="P12" s="5">
        <f t="shared" si="0"/>
        <v>1</v>
      </c>
      <c r="Q12" s="5">
        <f t="shared" si="1"/>
        <v>0</v>
      </c>
      <c r="S12">
        <f t="shared" si="3"/>
        <v>80</v>
      </c>
      <c r="T12">
        <f t="shared" si="2"/>
        <v>0.41428204842105038</v>
      </c>
    </row>
    <row r="13" spans="1:20" x14ac:dyDescent="0.25">
      <c r="S13">
        <f t="shared" si="3"/>
        <v>90</v>
      </c>
      <c r="T13">
        <f t="shared" si="2"/>
        <v>0.45393191846138592</v>
      </c>
    </row>
    <row r="14" spans="1:20" x14ac:dyDescent="0.25">
      <c r="A14" t="s">
        <v>67</v>
      </c>
      <c r="B14" s="6">
        <v>-5.5816729540418084E-3</v>
      </c>
      <c r="O14" t="s">
        <v>71</v>
      </c>
      <c r="Q14" s="5">
        <f>SUM(Q2:Q12)</f>
        <v>2.3089594562014158E-3</v>
      </c>
      <c r="S14">
        <f t="shared" si="3"/>
        <v>100</v>
      </c>
      <c r="T14">
        <f t="shared" si="2"/>
        <v>0.49117348506501607</v>
      </c>
    </row>
    <row r="15" spans="1:20" x14ac:dyDescent="0.25">
      <c r="A15" t="s">
        <v>74</v>
      </c>
      <c r="B15" s="5">
        <v>1.0308304774622683</v>
      </c>
      <c r="S15">
        <f t="shared" si="3"/>
        <v>110</v>
      </c>
      <c r="T15">
        <f t="shared" si="2"/>
        <v>0.5261334296319401</v>
      </c>
    </row>
    <row r="16" spans="1:20" x14ac:dyDescent="0.25">
      <c r="A16" t="s">
        <v>68</v>
      </c>
      <c r="B16" s="5">
        <f>1-EXP($B$14*(MAX($A$2:$A$12)-MIN($A$2:$A$12))^$B$15)</f>
        <v>0.96596002363209943</v>
      </c>
      <c r="S16">
        <f t="shared" si="3"/>
        <v>120</v>
      </c>
      <c r="T16">
        <f t="shared" si="2"/>
        <v>0.55893587452811189</v>
      </c>
    </row>
    <row r="17" spans="19:20" x14ac:dyDescent="0.25">
      <c r="S17">
        <f t="shared" si="3"/>
        <v>130</v>
      </c>
      <c r="T17">
        <f t="shared" si="2"/>
        <v>0.58970123886695358</v>
      </c>
    </row>
    <row r="18" spans="19:20" x14ac:dyDescent="0.25">
      <c r="S18">
        <f t="shared" si="3"/>
        <v>140</v>
      </c>
      <c r="T18">
        <f t="shared" si="2"/>
        <v>0.61854554327470701</v>
      </c>
    </row>
    <row r="19" spans="19:20" x14ac:dyDescent="0.25">
      <c r="S19">
        <f t="shared" si="3"/>
        <v>150</v>
      </c>
      <c r="T19">
        <f t="shared" si="2"/>
        <v>0.64558000668533011</v>
      </c>
    </row>
    <row r="20" spans="19:20" x14ac:dyDescent="0.25">
      <c r="S20">
        <f t="shared" si="3"/>
        <v>160</v>
      </c>
      <c r="T20">
        <f t="shared" si="2"/>
        <v>0.67091083818526398</v>
      </c>
    </row>
    <row r="21" spans="19:20" x14ac:dyDescent="0.25">
      <c r="S21">
        <f t="shared" si="3"/>
        <v>170</v>
      </c>
      <c r="T21">
        <f t="shared" si="2"/>
        <v>0.69463916156341965</v>
      </c>
    </row>
    <row r="22" spans="19:20" x14ac:dyDescent="0.25">
      <c r="S22">
        <f t="shared" si="3"/>
        <v>180</v>
      </c>
      <c r="T22">
        <f t="shared" si="2"/>
        <v>0.71686103116160582</v>
      </c>
    </row>
    <row r="23" spans="19:20" x14ac:dyDescent="0.25">
      <c r="S23">
        <f t="shared" si="3"/>
        <v>190</v>
      </c>
      <c r="T23">
        <f t="shared" si="2"/>
        <v>0.73766751078113002</v>
      </c>
    </row>
    <row r="24" spans="19:20" x14ac:dyDescent="0.25">
      <c r="S24">
        <f t="shared" si="3"/>
        <v>200</v>
      </c>
      <c r="T24">
        <f t="shared" si="2"/>
        <v>0.7571447959510379</v>
      </c>
    </row>
    <row r="25" spans="19:20" x14ac:dyDescent="0.25">
      <c r="S25">
        <f t="shared" si="3"/>
        <v>210</v>
      </c>
      <c r="T25">
        <f t="shared" si="2"/>
        <v>0.77537436557842621</v>
      </c>
    </row>
    <row r="26" spans="19:20" x14ac:dyDescent="0.25">
      <c r="S26">
        <f t="shared" si="3"/>
        <v>220</v>
      </c>
      <c r="T26">
        <f t="shared" si="2"/>
        <v>0.79243315291660277</v>
      </c>
    </row>
    <row r="27" spans="19:20" x14ac:dyDescent="0.25">
      <c r="S27">
        <f t="shared" si="3"/>
        <v>230</v>
      </c>
      <c r="T27">
        <f t="shared" si="2"/>
        <v>0.80839372852724478</v>
      </c>
    </row>
    <row r="28" spans="19:20" x14ac:dyDescent="0.25">
      <c r="S28">
        <f t="shared" si="3"/>
        <v>240</v>
      </c>
      <c r="T28">
        <f t="shared" si="2"/>
        <v>0.82332448986648465</v>
      </c>
    </row>
    <row r="29" spans="19:20" x14ac:dyDescent="0.25">
      <c r="S29">
        <f t="shared" si="3"/>
        <v>250</v>
      </c>
      <c r="T29">
        <f t="shared" si="2"/>
        <v>0.8372898535403499</v>
      </c>
    </row>
    <row r="30" spans="19:20" x14ac:dyDescent="0.25">
      <c r="S30">
        <f t="shared" si="3"/>
        <v>260</v>
      </c>
      <c r="T30">
        <f t="shared" si="2"/>
        <v>0.85035044731469556</v>
      </c>
    </row>
    <row r="31" spans="19:20" x14ac:dyDescent="0.25">
      <c r="S31">
        <f t="shared" si="3"/>
        <v>270</v>
      </c>
      <c r="T31">
        <f t="shared" si="2"/>
        <v>0.86256329973748525</v>
      </c>
    </row>
    <row r="32" spans="19:20" x14ac:dyDescent="0.25">
      <c r="S32">
        <f t="shared" si="3"/>
        <v>280</v>
      </c>
      <c r="T32">
        <f t="shared" si="2"/>
        <v>0.87398202581126894</v>
      </c>
    </row>
    <row r="33" spans="19:20" x14ac:dyDescent="0.25">
      <c r="S33">
        <f t="shared" si="3"/>
        <v>290</v>
      </c>
      <c r="T33">
        <f t="shared" si="2"/>
        <v>0.88465700759256305</v>
      </c>
    </row>
    <row r="34" spans="19:20" x14ac:dyDescent="0.25">
      <c r="S34">
        <f t="shared" si="3"/>
        <v>300</v>
      </c>
      <c r="T34">
        <f t="shared" si="2"/>
        <v>0.89463556892906659</v>
      </c>
    </row>
    <row r="35" spans="19:20" x14ac:dyDescent="0.25">
      <c r="S35">
        <f t="shared" si="3"/>
        <v>310</v>
      </c>
      <c r="T35">
        <f t="shared" si="2"/>
        <v>0.90396214380137963</v>
      </c>
    </row>
    <row r="36" spans="19:20" x14ac:dyDescent="0.25">
      <c r="S36">
        <f t="shared" si="3"/>
        <v>320</v>
      </c>
      <c r="T36">
        <f t="shared" si="2"/>
        <v>0.91267843793215664</v>
      </c>
    </row>
    <row r="37" spans="19:20" x14ac:dyDescent="0.25">
      <c r="S37">
        <f t="shared" si="3"/>
        <v>330</v>
      </c>
      <c r="T37">
        <f t="shared" si="2"/>
        <v>0.9208235834764491</v>
      </c>
    </row>
    <row r="38" spans="19:20" x14ac:dyDescent="0.25">
      <c r="S38">
        <f t="shared" si="3"/>
        <v>340</v>
      </c>
      <c r="T38">
        <f t="shared" si="2"/>
        <v>0.92843428672278705</v>
      </c>
    </row>
    <row r="39" spans="19:20" x14ac:dyDescent="0.25">
      <c r="S39">
        <f t="shared" si="3"/>
        <v>350</v>
      </c>
      <c r="T39">
        <f t="shared" si="2"/>
        <v>0.93554496882318994</v>
      </c>
    </row>
    <row r="40" spans="19:20" x14ac:dyDescent="0.25">
      <c r="S40">
        <f t="shared" si="3"/>
        <v>360</v>
      </c>
      <c r="T40">
        <f t="shared" si="2"/>
        <v>0.9421878996377534</v>
      </c>
    </row>
    <row r="41" spans="19:20" x14ac:dyDescent="0.25">
      <c r="S41">
        <f t="shared" si="3"/>
        <v>370</v>
      </c>
      <c r="T41">
        <f t="shared" si="2"/>
        <v>0.94839332483029237</v>
      </c>
    </row>
    <row r="42" spans="19:20" x14ac:dyDescent="0.25">
      <c r="S42">
        <f t="shared" si="3"/>
        <v>380</v>
      </c>
      <c r="T42">
        <f t="shared" si="2"/>
        <v>0.95418958638931284</v>
      </c>
    </row>
    <row r="43" spans="19:20" x14ac:dyDescent="0.25">
      <c r="S43">
        <f t="shared" si="3"/>
        <v>390</v>
      </c>
      <c r="T43">
        <f t="shared" si="2"/>
        <v>0.95960323677604742</v>
      </c>
    </row>
    <row r="44" spans="19:20" x14ac:dyDescent="0.25">
      <c r="S44">
        <f t="shared" si="3"/>
        <v>400</v>
      </c>
      <c r="T44">
        <f t="shared" si="2"/>
        <v>0.96465914692061749</v>
      </c>
    </row>
    <row r="45" spans="19:20" x14ac:dyDescent="0.25">
      <c r="S45">
        <f t="shared" si="3"/>
        <v>410</v>
      </c>
      <c r="T45">
        <f t="shared" si="2"/>
        <v>0.96938060830026673</v>
      </c>
    </row>
    <row r="46" spans="19:20" x14ac:dyDescent="0.25">
      <c r="S46">
        <f t="shared" si="3"/>
        <v>420</v>
      </c>
      <c r="T46">
        <f t="shared" si="2"/>
        <v>0.97378942934140267</v>
      </c>
    </row>
    <row r="47" spans="19:20" x14ac:dyDescent="0.25">
      <c r="S47">
        <f t="shared" si="3"/>
        <v>430</v>
      </c>
      <c r="T47">
        <f t="shared" si="2"/>
        <v>0.97790602639096069</v>
      </c>
    </row>
    <row r="48" spans="19:20" x14ac:dyDescent="0.25">
      <c r="S48">
        <f t="shared" si="3"/>
        <v>440</v>
      </c>
      <c r="T48">
        <f t="shared" si="2"/>
        <v>0.98174950950322404</v>
      </c>
    </row>
    <row r="49" spans="19:20" x14ac:dyDescent="0.25">
      <c r="S49">
        <f t="shared" si="3"/>
        <v>450</v>
      </c>
      <c r="T49">
        <f t="shared" si="2"/>
        <v>0.98533776328639089</v>
      </c>
    </row>
    <row r="50" spans="19:20" x14ac:dyDescent="0.25">
      <c r="S50">
        <f t="shared" si="3"/>
        <v>460</v>
      </c>
      <c r="T50">
        <f t="shared" si="2"/>
        <v>0.98868752304942698</v>
      </c>
    </row>
    <row r="51" spans="19:20" x14ac:dyDescent="0.25">
      <c r="S51">
        <f t="shared" si="3"/>
        <v>470</v>
      </c>
      <c r="T51">
        <f t="shared" si="2"/>
        <v>0.99181444648452111</v>
      </c>
    </row>
    <row r="52" spans="19:20" x14ac:dyDescent="0.25">
      <c r="S52">
        <f t="shared" si="3"/>
        <v>480</v>
      </c>
      <c r="T52">
        <f t="shared" si="2"/>
        <v>0.99473318111414089</v>
      </c>
    </row>
    <row r="53" spans="19:20" x14ac:dyDescent="0.25">
      <c r="S53">
        <f t="shared" si="3"/>
        <v>490</v>
      </c>
      <c r="T53">
        <f t="shared" si="2"/>
        <v>0.99745742772455803</v>
      </c>
    </row>
    <row r="54" spans="19:20" x14ac:dyDescent="0.25">
      <c r="S54">
        <f t="shared" si="3"/>
        <v>500</v>
      </c>
      <c r="T54">
        <f t="shared" si="2"/>
        <v>1</v>
      </c>
    </row>
    <row r="55" spans="19:20" x14ac:dyDescent="0.25">
      <c r="S55">
        <f t="shared" si="3"/>
        <v>510</v>
      </c>
      <c r="T55">
        <f t="shared" si="2"/>
        <v>1</v>
      </c>
    </row>
    <row r="56" spans="19:20" x14ac:dyDescent="0.25">
      <c r="S56">
        <f t="shared" si="3"/>
        <v>520</v>
      </c>
      <c r="T56">
        <f t="shared" si="2"/>
        <v>1</v>
      </c>
    </row>
    <row r="57" spans="19:20" x14ac:dyDescent="0.25">
      <c r="S57">
        <f t="shared" si="3"/>
        <v>530</v>
      </c>
      <c r="T57">
        <f t="shared" si="2"/>
        <v>1</v>
      </c>
    </row>
    <row r="58" spans="19:20" x14ac:dyDescent="0.25">
      <c r="S58">
        <f t="shared" si="3"/>
        <v>540</v>
      </c>
      <c r="T58">
        <f t="shared" si="2"/>
        <v>1</v>
      </c>
    </row>
    <row r="59" spans="19:20" x14ac:dyDescent="0.25">
      <c r="S59">
        <f t="shared" si="3"/>
        <v>550</v>
      </c>
      <c r="T59">
        <f t="shared" si="2"/>
        <v>1</v>
      </c>
    </row>
    <row r="60" spans="19:20" x14ac:dyDescent="0.25">
      <c r="S60">
        <f t="shared" si="3"/>
        <v>560</v>
      </c>
      <c r="T60">
        <f t="shared" si="2"/>
        <v>1</v>
      </c>
    </row>
    <row r="61" spans="19:20" x14ac:dyDescent="0.25">
      <c r="S61">
        <f t="shared" si="3"/>
        <v>570</v>
      </c>
      <c r="T61">
        <f t="shared" si="2"/>
        <v>1</v>
      </c>
    </row>
    <row r="62" spans="19:20" x14ac:dyDescent="0.25">
      <c r="S62">
        <f t="shared" si="3"/>
        <v>580</v>
      </c>
      <c r="T62">
        <f t="shared" si="2"/>
        <v>1</v>
      </c>
    </row>
    <row r="63" spans="19:20" x14ac:dyDescent="0.25">
      <c r="S63">
        <f t="shared" si="3"/>
        <v>590</v>
      </c>
      <c r="T63">
        <f t="shared" si="2"/>
        <v>1</v>
      </c>
    </row>
    <row r="64" spans="19:20" x14ac:dyDescent="0.25">
      <c r="S64">
        <f t="shared" si="3"/>
        <v>600</v>
      </c>
      <c r="T64">
        <f t="shared" si="2"/>
        <v>1</v>
      </c>
    </row>
    <row r="65" spans="19:20" x14ac:dyDescent="0.25">
      <c r="S65">
        <f t="shared" si="3"/>
        <v>610</v>
      </c>
      <c r="T65">
        <f t="shared" si="2"/>
        <v>1</v>
      </c>
    </row>
    <row r="66" spans="19:20" x14ac:dyDescent="0.25">
      <c r="S66">
        <f t="shared" si="3"/>
        <v>620</v>
      </c>
      <c r="T66">
        <f t="shared" si="2"/>
        <v>1</v>
      </c>
    </row>
    <row r="67" spans="19:20" x14ac:dyDescent="0.25">
      <c r="S67">
        <f t="shared" si="3"/>
        <v>630</v>
      </c>
      <c r="T67">
        <f t="shared" si="2"/>
        <v>1</v>
      </c>
    </row>
    <row r="68" spans="19:20" x14ac:dyDescent="0.25">
      <c r="S68">
        <f t="shared" si="3"/>
        <v>640</v>
      </c>
      <c r="T68">
        <f t="shared" si="2"/>
        <v>1</v>
      </c>
    </row>
    <row r="69" spans="19:20" x14ac:dyDescent="0.25">
      <c r="S69">
        <f t="shared" si="3"/>
        <v>650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660</v>
      </c>
      <c r="T70">
        <f t="shared" si="4"/>
        <v>1</v>
      </c>
    </row>
    <row r="71" spans="19:20" x14ac:dyDescent="0.25">
      <c r="S71">
        <f t="shared" si="5"/>
        <v>670</v>
      </c>
      <c r="T71">
        <f t="shared" si="4"/>
        <v>1</v>
      </c>
    </row>
    <row r="72" spans="19:20" x14ac:dyDescent="0.25">
      <c r="S72">
        <f t="shared" si="5"/>
        <v>680</v>
      </c>
      <c r="T72">
        <f t="shared" si="4"/>
        <v>1</v>
      </c>
    </row>
    <row r="73" spans="19:20" x14ac:dyDescent="0.25">
      <c r="S73">
        <f t="shared" si="5"/>
        <v>690</v>
      </c>
      <c r="T73">
        <f t="shared" si="4"/>
        <v>1</v>
      </c>
    </row>
    <row r="74" spans="19:20" x14ac:dyDescent="0.25">
      <c r="S74">
        <f t="shared" si="5"/>
        <v>700</v>
      </c>
      <c r="T74">
        <f t="shared" si="4"/>
        <v>1</v>
      </c>
    </row>
    <row r="75" spans="19:20" x14ac:dyDescent="0.25">
      <c r="S75">
        <f t="shared" si="5"/>
        <v>710</v>
      </c>
      <c r="T75">
        <f t="shared" si="4"/>
        <v>1</v>
      </c>
    </row>
    <row r="76" spans="19:20" x14ac:dyDescent="0.25">
      <c r="S76">
        <f t="shared" si="5"/>
        <v>720</v>
      </c>
      <c r="T76">
        <f t="shared" si="4"/>
        <v>1</v>
      </c>
    </row>
    <row r="77" spans="19:20" x14ac:dyDescent="0.25">
      <c r="S77">
        <f t="shared" si="5"/>
        <v>730</v>
      </c>
      <c r="T77">
        <f t="shared" si="4"/>
        <v>1</v>
      </c>
    </row>
    <row r="78" spans="19:20" x14ac:dyDescent="0.25">
      <c r="S78">
        <f t="shared" si="5"/>
        <v>740</v>
      </c>
      <c r="T78">
        <f t="shared" si="4"/>
        <v>1</v>
      </c>
    </row>
    <row r="79" spans="19:20" x14ac:dyDescent="0.25">
      <c r="S79">
        <f t="shared" si="5"/>
        <v>750</v>
      </c>
      <c r="T79">
        <f t="shared" si="4"/>
        <v>1</v>
      </c>
    </row>
    <row r="80" spans="19:20" x14ac:dyDescent="0.25">
      <c r="S80">
        <f t="shared" si="5"/>
        <v>760</v>
      </c>
      <c r="T80">
        <f t="shared" si="4"/>
        <v>1</v>
      </c>
    </row>
    <row r="81" spans="19:20" x14ac:dyDescent="0.25">
      <c r="S81">
        <f t="shared" si="5"/>
        <v>770</v>
      </c>
      <c r="T81">
        <f t="shared" si="4"/>
        <v>1</v>
      </c>
    </row>
    <row r="82" spans="19:20" x14ac:dyDescent="0.25">
      <c r="S82">
        <f t="shared" si="5"/>
        <v>780</v>
      </c>
      <c r="T82">
        <f t="shared" si="4"/>
        <v>1</v>
      </c>
    </row>
    <row r="83" spans="19:20" x14ac:dyDescent="0.25">
      <c r="S83">
        <f t="shared" si="5"/>
        <v>790</v>
      </c>
      <c r="T83">
        <f t="shared" si="4"/>
        <v>1</v>
      </c>
    </row>
    <row r="84" spans="19:20" x14ac:dyDescent="0.25">
      <c r="S84">
        <f t="shared" si="5"/>
        <v>800</v>
      </c>
      <c r="T84">
        <f t="shared" si="4"/>
        <v>1</v>
      </c>
    </row>
    <row r="85" spans="19:20" x14ac:dyDescent="0.25">
      <c r="S85">
        <f t="shared" si="5"/>
        <v>810</v>
      </c>
      <c r="T85">
        <f t="shared" si="4"/>
        <v>1</v>
      </c>
    </row>
    <row r="86" spans="19:20" x14ac:dyDescent="0.25">
      <c r="S86">
        <f t="shared" si="5"/>
        <v>820</v>
      </c>
      <c r="T86">
        <f t="shared" si="4"/>
        <v>1</v>
      </c>
    </row>
    <row r="87" spans="19:20" x14ac:dyDescent="0.25">
      <c r="S87">
        <f t="shared" si="5"/>
        <v>830</v>
      </c>
      <c r="T87">
        <f t="shared" si="4"/>
        <v>1</v>
      </c>
    </row>
    <row r="88" spans="19:20" x14ac:dyDescent="0.25">
      <c r="S88">
        <f t="shared" si="5"/>
        <v>840</v>
      </c>
      <c r="T88">
        <f t="shared" si="4"/>
        <v>1</v>
      </c>
    </row>
    <row r="89" spans="19:20" x14ac:dyDescent="0.25">
      <c r="S89">
        <f t="shared" si="5"/>
        <v>850</v>
      </c>
      <c r="T89">
        <f t="shared" si="4"/>
        <v>1</v>
      </c>
    </row>
    <row r="90" spans="19:20" x14ac:dyDescent="0.25">
      <c r="S90">
        <f t="shared" si="5"/>
        <v>860</v>
      </c>
      <c r="T90">
        <f t="shared" si="4"/>
        <v>1</v>
      </c>
    </row>
    <row r="91" spans="19:20" x14ac:dyDescent="0.25">
      <c r="S91">
        <f t="shared" si="5"/>
        <v>870</v>
      </c>
      <c r="T91">
        <f t="shared" si="4"/>
        <v>1</v>
      </c>
    </row>
    <row r="92" spans="19:20" x14ac:dyDescent="0.25">
      <c r="S92">
        <f t="shared" si="5"/>
        <v>880</v>
      </c>
      <c r="T92">
        <f t="shared" si="4"/>
        <v>1</v>
      </c>
    </row>
    <row r="93" spans="19:20" x14ac:dyDescent="0.25">
      <c r="S93">
        <f t="shared" si="5"/>
        <v>890</v>
      </c>
      <c r="T93">
        <f t="shared" si="4"/>
        <v>1</v>
      </c>
    </row>
    <row r="94" spans="19:20" x14ac:dyDescent="0.25">
      <c r="S94">
        <f t="shared" si="5"/>
        <v>900</v>
      </c>
      <c r="T94">
        <f t="shared" si="4"/>
        <v>1</v>
      </c>
    </row>
    <row r="95" spans="19:20" x14ac:dyDescent="0.25">
      <c r="S95">
        <f t="shared" si="5"/>
        <v>910</v>
      </c>
      <c r="T95">
        <f t="shared" si="4"/>
        <v>1</v>
      </c>
    </row>
    <row r="96" spans="19:20" x14ac:dyDescent="0.25">
      <c r="S96">
        <f t="shared" si="5"/>
        <v>920</v>
      </c>
      <c r="T96">
        <f t="shared" si="4"/>
        <v>1</v>
      </c>
    </row>
    <row r="97" spans="19:20" x14ac:dyDescent="0.25">
      <c r="S97">
        <f t="shared" si="5"/>
        <v>930</v>
      </c>
      <c r="T97">
        <f t="shared" si="4"/>
        <v>1</v>
      </c>
    </row>
    <row r="98" spans="19:20" x14ac:dyDescent="0.25">
      <c r="S98">
        <f t="shared" si="5"/>
        <v>940</v>
      </c>
      <c r="T98">
        <f t="shared" si="4"/>
        <v>1</v>
      </c>
    </row>
    <row r="99" spans="19:20" x14ac:dyDescent="0.25">
      <c r="S99">
        <f t="shared" si="5"/>
        <v>950</v>
      </c>
      <c r="T99">
        <f t="shared" si="4"/>
        <v>1</v>
      </c>
    </row>
    <row r="100" spans="19:20" x14ac:dyDescent="0.25">
      <c r="S100">
        <f t="shared" si="5"/>
        <v>960</v>
      </c>
      <c r="T100">
        <f t="shared" si="4"/>
        <v>1</v>
      </c>
    </row>
    <row r="101" spans="19:20" x14ac:dyDescent="0.25">
      <c r="S101">
        <f t="shared" si="5"/>
        <v>970</v>
      </c>
      <c r="T101">
        <f t="shared" si="4"/>
        <v>1</v>
      </c>
    </row>
    <row r="102" spans="19:20" x14ac:dyDescent="0.25">
      <c r="S102">
        <f t="shared" si="5"/>
        <v>980</v>
      </c>
      <c r="T102">
        <f t="shared" si="4"/>
        <v>1</v>
      </c>
    </row>
    <row r="103" spans="19:20" x14ac:dyDescent="0.25">
      <c r="S103">
        <f t="shared" si="5"/>
        <v>990</v>
      </c>
      <c r="T103">
        <f t="shared" si="4"/>
        <v>1</v>
      </c>
    </row>
    <row r="104" spans="19:20" x14ac:dyDescent="0.25">
      <c r="S104">
        <f t="shared" si="5"/>
        <v>1000</v>
      </c>
      <c r="T104">
        <f t="shared" si="4"/>
        <v>1</v>
      </c>
    </row>
    <row r="105" spans="19:20" x14ac:dyDescent="0.25">
      <c r="S105">
        <f t="shared" si="5"/>
        <v>1010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C1" workbookViewId="0">
      <selection activeCell="T12" sqref="T12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7" t="s">
        <v>88</v>
      </c>
      <c r="B1" s="7" t="s">
        <v>66</v>
      </c>
      <c r="P1" t="s">
        <v>69</v>
      </c>
      <c r="Q1" t="s">
        <v>70</v>
      </c>
    </row>
    <row r="2" spans="1:20" x14ac:dyDescent="0.25">
      <c r="A2">
        <v>-80</v>
      </c>
      <c r="B2">
        <v>0</v>
      </c>
      <c r="P2" s="5">
        <f>(1-EXP($B$14*(MAX($A$2:$A$12)-A2)^$B$15))/$B$16</f>
        <v>0</v>
      </c>
      <c r="Q2" s="5">
        <f>(P2-B2)^2</f>
        <v>0</v>
      </c>
    </row>
    <row r="3" spans="1:20" x14ac:dyDescent="0.25">
      <c r="A3">
        <f>A$2+B3*($A$12-$A$2)</f>
        <v>-88</v>
      </c>
      <c r="B3">
        <v>0.2</v>
      </c>
      <c r="P3" s="5">
        <f t="shared" ref="P3:P12" si="0">(1-EXP($B$14*(MAX($A$2:$A$12)-A3)^$B$15))/$B$16</f>
        <v>0.19999996824762784</v>
      </c>
      <c r="Q3" s="5">
        <f t="shared" ref="Q3:Q12" si="1">(P3-B3)^2</f>
        <v>1.008213138803742E-15</v>
      </c>
      <c r="S3" t="s">
        <v>72</v>
      </c>
      <c r="T3" t="s">
        <v>73</v>
      </c>
    </row>
    <row r="4" spans="1:20" x14ac:dyDescent="0.25">
      <c r="A4">
        <f t="shared" ref="A4:A11" si="2">A$2+B4*($A$12-$A$2)</f>
        <v>-96</v>
      </c>
      <c r="B4">
        <v>0.4</v>
      </c>
      <c r="P4" s="5">
        <f t="shared" si="0"/>
        <v>0.39999995203837491</v>
      </c>
      <c r="Q4" s="5">
        <f t="shared" si="1"/>
        <v>2.3003174837570506E-15</v>
      </c>
      <c r="S4">
        <f>MIN(A2:A12)</f>
        <v>-120</v>
      </c>
      <c r="T4">
        <f>IF(S4&lt;=MIN($A$2:$A$12),1,IF(S4&gt;=MAX($A$2:$A$12),0,(1/$B$16)*(1-EXP($B$14*(MAX($A$2:$A$12)-S4)^$B$15))))</f>
        <v>1</v>
      </c>
    </row>
    <row r="5" spans="1:20" x14ac:dyDescent="0.25">
      <c r="A5">
        <f t="shared" si="2"/>
        <v>-100</v>
      </c>
      <c r="B5">
        <v>0.5</v>
      </c>
      <c r="P5" s="5">
        <f t="shared" si="0"/>
        <v>0.49999995031752958</v>
      </c>
      <c r="Q5" s="5">
        <f t="shared" si="1"/>
        <v>2.468347866585014E-15</v>
      </c>
      <c r="S5">
        <f>S4+(MAX($A$2:$A$12)-$S$4)/50</f>
        <v>-119.2</v>
      </c>
      <c r="T5">
        <f t="shared" ref="T5:T68" si="3">IF(S5&lt;=MIN($A$2:$A$12),1,IF(S5&gt;=MAX($A$2:$A$12),0,(1/$B$16)*(1-EXP($B$14*(MAX($A$2:$A$12)-S5)^$B$15))))</f>
        <v>0.97999999623634471</v>
      </c>
    </row>
    <row r="6" spans="1:20" x14ac:dyDescent="0.25">
      <c r="A6">
        <f t="shared" si="2"/>
        <v>-104</v>
      </c>
      <c r="B6">
        <v>0.6</v>
      </c>
      <c r="P6" s="5">
        <f t="shared" si="0"/>
        <v>0.59999995192735267</v>
      </c>
      <c r="Q6" s="5">
        <f t="shared" si="1"/>
        <v>2.3109794191348429E-15</v>
      </c>
      <c r="S6">
        <f t="shared" ref="S6:S69" si="4">S5+(MAX($A$2:$A$12)-$S$4)/50</f>
        <v>-118.4</v>
      </c>
      <c r="T6">
        <f t="shared" si="3"/>
        <v>0.95999999247268941</v>
      </c>
    </row>
    <row r="7" spans="1:20" x14ac:dyDescent="0.25">
      <c r="A7">
        <f t="shared" si="2"/>
        <v>-108</v>
      </c>
      <c r="B7">
        <v>0.7</v>
      </c>
      <c r="P7" s="5">
        <f t="shared" si="0"/>
        <v>0.69999995797806691</v>
      </c>
      <c r="Q7" s="5">
        <f t="shared" si="1"/>
        <v>1.765842856785279E-15</v>
      </c>
      <c r="S7">
        <f t="shared" si="4"/>
        <v>-117.60000000000001</v>
      </c>
      <c r="T7">
        <f t="shared" si="3"/>
        <v>0.93999998870903412</v>
      </c>
    </row>
    <row r="8" spans="1:20" x14ac:dyDescent="0.25">
      <c r="A8">
        <f t="shared" si="2"/>
        <v>-112</v>
      </c>
      <c r="B8">
        <v>0.8</v>
      </c>
      <c r="P8" s="5">
        <f t="shared" si="0"/>
        <v>0.79999996791456096</v>
      </c>
      <c r="Q8" s="5">
        <f t="shared" si="1"/>
        <v>1.0294754011743017E-15</v>
      </c>
      <c r="S8">
        <f t="shared" si="4"/>
        <v>-116.80000000000001</v>
      </c>
      <c r="T8">
        <f t="shared" si="3"/>
        <v>0.91999998550049022</v>
      </c>
    </row>
    <row r="9" spans="1:20" x14ac:dyDescent="0.25">
      <c r="A9">
        <f t="shared" si="2"/>
        <v>-114</v>
      </c>
      <c r="B9">
        <v>0.85</v>
      </c>
      <c r="P9" s="5">
        <f t="shared" si="0"/>
        <v>0.849999974825698</v>
      </c>
      <c r="Q9" s="5">
        <f t="shared" si="1"/>
        <v>6.3374547999643486E-16</v>
      </c>
      <c r="S9">
        <f t="shared" si="4"/>
        <v>-116.00000000000001</v>
      </c>
      <c r="T9">
        <f t="shared" si="3"/>
        <v>0.89999998229194633</v>
      </c>
    </row>
    <row r="10" spans="1:20" x14ac:dyDescent="0.25">
      <c r="A10">
        <f t="shared" si="2"/>
        <v>-116</v>
      </c>
      <c r="B10">
        <v>0.9</v>
      </c>
      <c r="P10" s="5">
        <f t="shared" si="0"/>
        <v>0.89999998229194633</v>
      </c>
      <c r="Q10" s="5">
        <f t="shared" si="1"/>
        <v>3.1357516548996145E-16</v>
      </c>
      <c r="S10">
        <f t="shared" si="4"/>
        <v>-115.20000000000002</v>
      </c>
      <c r="T10">
        <f t="shared" si="3"/>
        <v>0.87999997908340244</v>
      </c>
    </row>
    <row r="11" spans="1:20" x14ac:dyDescent="0.25">
      <c r="A11">
        <f t="shared" si="2"/>
        <v>-118</v>
      </c>
      <c r="B11">
        <v>0.95</v>
      </c>
      <c r="P11" s="5">
        <f t="shared" si="0"/>
        <v>0.94999999086841747</v>
      </c>
      <c r="Q11" s="5">
        <f t="shared" si="1"/>
        <v>8.3385798774647308E-17</v>
      </c>
      <c r="S11">
        <f t="shared" si="4"/>
        <v>-114.40000000000002</v>
      </c>
      <c r="T11">
        <f t="shared" si="3"/>
        <v>0.85999997587485855</v>
      </c>
    </row>
    <row r="12" spans="1:20" x14ac:dyDescent="0.25">
      <c r="A12">
        <v>-120</v>
      </c>
      <c r="B12">
        <v>1</v>
      </c>
      <c r="P12" s="5">
        <f t="shared" si="0"/>
        <v>1</v>
      </c>
      <c r="Q12" s="5">
        <f t="shared" si="1"/>
        <v>0</v>
      </c>
      <c r="S12">
        <f t="shared" si="4"/>
        <v>-113.60000000000002</v>
      </c>
      <c r="T12">
        <f t="shared" si="3"/>
        <v>0.83999997322142606</v>
      </c>
    </row>
    <row r="13" spans="1:20" x14ac:dyDescent="0.25">
      <c r="S13">
        <f t="shared" si="4"/>
        <v>-112.80000000000003</v>
      </c>
      <c r="T13">
        <f t="shared" si="3"/>
        <v>0.81999997056799356</v>
      </c>
    </row>
    <row r="14" spans="1:20" x14ac:dyDescent="0.25">
      <c r="A14" t="s">
        <v>67</v>
      </c>
      <c r="B14" s="6">
        <v>1E-8</v>
      </c>
      <c r="O14" t="s">
        <v>71</v>
      </c>
      <c r="Q14" s="5">
        <f>SUM(Q2:Q12)</f>
        <v>1.1913882610501272E-14</v>
      </c>
      <c r="S14">
        <f t="shared" si="4"/>
        <v>-112.00000000000003</v>
      </c>
      <c r="T14">
        <f t="shared" si="3"/>
        <v>0.79999996791456107</v>
      </c>
    </row>
    <row r="15" spans="1:20" x14ac:dyDescent="0.25">
      <c r="A15" t="s">
        <v>74</v>
      </c>
      <c r="B15" s="5">
        <v>1</v>
      </c>
      <c r="S15">
        <f t="shared" si="4"/>
        <v>-111.20000000000003</v>
      </c>
      <c r="T15">
        <f t="shared" si="3"/>
        <v>0.77999996581623998</v>
      </c>
    </row>
    <row r="16" spans="1:20" x14ac:dyDescent="0.25">
      <c r="A16" t="s">
        <v>68</v>
      </c>
      <c r="B16" s="5">
        <f>1-EXP($B$14*(MAX($A$2:$A$12)-MIN($A$2:$A$12))^$B$15)</f>
        <v>-4.0000007994756004E-7</v>
      </c>
      <c r="S16">
        <f t="shared" si="4"/>
        <v>-110.40000000000003</v>
      </c>
      <c r="T16">
        <f t="shared" si="3"/>
        <v>0.75999996371791889</v>
      </c>
    </row>
    <row r="17" spans="19:20" x14ac:dyDescent="0.25">
      <c r="S17">
        <f t="shared" si="4"/>
        <v>-109.60000000000004</v>
      </c>
      <c r="T17">
        <f t="shared" si="3"/>
        <v>0.7399999616195978</v>
      </c>
    </row>
    <row r="18" spans="19:20" x14ac:dyDescent="0.25">
      <c r="S18">
        <f t="shared" si="4"/>
        <v>-108.80000000000004</v>
      </c>
      <c r="T18">
        <f t="shared" si="3"/>
        <v>0.7199999595212766</v>
      </c>
    </row>
    <row r="19" spans="19:20" x14ac:dyDescent="0.25">
      <c r="S19">
        <f t="shared" si="4"/>
        <v>-108.00000000000004</v>
      </c>
      <c r="T19">
        <f t="shared" si="3"/>
        <v>0.69999995797806691</v>
      </c>
    </row>
    <row r="20" spans="19:20" x14ac:dyDescent="0.25">
      <c r="S20">
        <f t="shared" si="4"/>
        <v>-107.20000000000005</v>
      </c>
      <c r="T20">
        <f t="shared" si="3"/>
        <v>0.67999995643485722</v>
      </c>
    </row>
    <row r="21" spans="19:20" x14ac:dyDescent="0.25">
      <c r="S21">
        <f t="shared" si="4"/>
        <v>-106.40000000000005</v>
      </c>
      <c r="T21">
        <f t="shared" si="3"/>
        <v>0.65999995544675893</v>
      </c>
    </row>
    <row r="22" spans="19:20" x14ac:dyDescent="0.25">
      <c r="S22">
        <f t="shared" si="4"/>
        <v>-105.60000000000005</v>
      </c>
      <c r="T22">
        <f t="shared" si="3"/>
        <v>0.63999995390354925</v>
      </c>
    </row>
    <row r="23" spans="19:20" x14ac:dyDescent="0.25">
      <c r="S23">
        <f t="shared" si="4"/>
        <v>-104.80000000000005</v>
      </c>
      <c r="T23">
        <f t="shared" si="3"/>
        <v>0.61999995291545096</v>
      </c>
    </row>
    <row r="24" spans="19:20" x14ac:dyDescent="0.25">
      <c r="S24">
        <f t="shared" si="4"/>
        <v>-104.00000000000006</v>
      </c>
      <c r="T24">
        <f t="shared" si="3"/>
        <v>0.59999995192735267</v>
      </c>
    </row>
    <row r="25" spans="19:20" x14ac:dyDescent="0.25">
      <c r="S25">
        <f t="shared" si="4"/>
        <v>-103.20000000000006</v>
      </c>
      <c r="T25">
        <f t="shared" si="3"/>
        <v>0.57999995149436578</v>
      </c>
    </row>
    <row r="26" spans="19:20" x14ac:dyDescent="0.25">
      <c r="S26">
        <f t="shared" si="4"/>
        <v>-102.40000000000006</v>
      </c>
      <c r="T26">
        <f t="shared" si="3"/>
        <v>0.5599999510613789</v>
      </c>
    </row>
    <row r="27" spans="19:20" x14ac:dyDescent="0.25">
      <c r="S27">
        <f t="shared" si="4"/>
        <v>-101.60000000000007</v>
      </c>
      <c r="T27">
        <f t="shared" si="3"/>
        <v>0.53999995062839201</v>
      </c>
    </row>
    <row r="28" spans="19:20" x14ac:dyDescent="0.25">
      <c r="S28">
        <f t="shared" si="4"/>
        <v>-100.80000000000007</v>
      </c>
      <c r="T28">
        <f t="shared" si="3"/>
        <v>0.51999995019540513</v>
      </c>
    </row>
    <row r="29" spans="19:20" x14ac:dyDescent="0.25">
      <c r="S29">
        <f t="shared" si="4"/>
        <v>-100.00000000000007</v>
      </c>
      <c r="T29">
        <f t="shared" si="3"/>
        <v>0.49999995031752958</v>
      </c>
    </row>
    <row r="30" spans="19:20" x14ac:dyDescent="0.25">
      <c r="S30">
        <f t="shared" si="4"/>
        <v>-99.200000000000074</v>
      </c>
      <c r="T30">
        <f t="shared" si="3"/>
        <v>0.4799999498845427</v>
      </c>
    </row>
    <row r="31" spans="19:20" x14ac:dyDescent="0.25">
      <c r="S31">
        <f t="shared" si="4"/>
        <v>-98.400000000000077</v>
      </c>
      <c r="T31">
        <f t="shared" si="3"/>
        <v>0.45999995056177861</v>
      </c>
    </row>
    <row r="32" spans="19:20" x14ac:dyDescent="0.25">
      <c r="S32">
        <f t="shared" si="4"/>
        <v>-97.60000000000008</v>
      </c>
      <c r="T32">
        <f t="shared" si="3"/>
        <v>0.43999995068390313</v>
      </c>
    </row>
    <row r="33" spans="19:20" x14ac:dyDescent="0.25">
      <c r="S33">
        <f t="shared" si="4"/>
        <v>-96.800000000000082</v>
      </c>
      <c r="T33">
        <f t="shared" si="3"/>
        <v>0.41999995136113905</v>
      </c>
    </row>
    <row r="34" spans="19:20" x14ac:dyDescent="0.25">
      <c r="S34">
        <f t="shared" si="4"/>
        <v>-96.000000000000085</v>
      </c>
      <c r="T34">
        <f t="shared" si="3"/>
        <v>0.39999995203837496</v>
      </c>
    </row>
    <row r="35" spans="19:20" x14ac:dyDescent="0.25">
      <c r="S35">
        <f t="shared" si="4"/>
        <v>-95.200000000000088</v>
      </c>
      <c r="T35">
        <f t="shared" si="3"/>
        <v>0.37999995271561088</v>
      </c>
    </row>
    <row r="36" spans="19:20" x14ac:dyDescent="0.25">
      <c r="S36">
        <f t="shared" si="4"/>
        <v>-94.400000000000091</v>
      </c>
      <c r="T36">
        <f t="shared" si="3"/>
        <v>0.35999995394795814</v>
      </c>
    </row>
    <row r="37" spans="19:20" x14ac:dyDescent="0.25">
      <c r="S37">
        <f t="shared" si="4"/>
        <v>-93.600000000000094</v>
      </c>
      <c r="T37">
        <f t="shared" si="3"/>
        <v>0.33999995518030546</v>
      </c>
    </row>
    <row r="38" spans="19:20" x14ac:dyDescent="0.25">
      <c r="S38">
        <f t="shared" si="4"/>
        <v>-92.800000000000097</v>
      </c>
      <c r="T38">
        <f t="shared" si="3"/>
        <v>0.31999995641265278</v>
      </c>
    </row>
    <row r="39" spans="19:20" x14ac:dyDescent="0.25">
      <c r="S39">
        <f t="shared" si="4"/>
        <v>-92.000000000000099</v>
      </c>
      <c r="T39">
        <f t="shared" si="3"/>
        <v>0.29999995820011149</v>
      </c>
    </row>
    <row r="40" spans="19:20" x14ac:dyDescent="0.25">
      <c r="S40">
        <f t="shared" si="4"/>
        <v>-91.200000000000102</v>
      </c>
      <c r="T40">
        <f t="shared" si="3"/>
        <v>0.27999995998757021</v>
      </c>
    </row>
    <row r="41" spans="19:20" x14ac:dyDescent="0.25">
      <c r="S41">
        <f t="shared" si="4"/>
        <v>-90.400000000000105</v>
      </c>
      <c r="T41">
        <f t="shared" si="3"/>
        <v>0.25999996177502893</v>
      </c>
    </row>
    <row r="42" spans="19:20" x14ac:dyDescent="0.25">
      <c r="S42">
        <f t="shared" si="4"/>
        <v>-89.600000000000108</v>
      </c>
      <c r="T42">
        <f t="shared" si="3"/>
        <v>0.23999996356248762</v>
      </c>
    </row>
    <row r="43" spans="19:20" x14ac:dyDescent="0.25">
      <c r="S43">
        <f t="shared" si="4"/>
        <v>-88.800000000000111</v>
      </c>
      <c r="T43">
        <f t="shared" si="3"/>
        <v>0.21999996590505774</v>
      </c>
    </row>
    <row r="44" spans="19:20" x14ac:dyDescent="0.25">
      <c r="S44">
        <f t="shared" si="4"/>
        <v>-88.000000000000114</v>
      </c>
      <c r="T44">
        <f t="shared" si="3"/>
        <v>0.19999996824762786</v>
      </c>
    </row>
    <row r="45" spans="19:20" x14ac:dyDescent="0.25">
      <c r="S45">
        <f t="shared" si="4"/>
        <v>-87.200000000000117</v>
      </c>
      <c r="T45">
        <f t="shared" si="3"/>
        <v>0.17999997059019796</v>
      </c>
    </row>
    <row r="46" spans="19:20" x14ac:dyDescent="0.25">
      <c r="S46">
        <f t="shared" si="4"/>
        <v>-86.400000000000119</v>
      </c>
      <c r="T46">
        <f t="shared" si="3"/>
        <v>0.15999997293276808</v>
      </c>
    </row>
    <row r="47" spans="19:20" x14ac:dyDescent="0.25">
      <c r="S47">
        <f t="shared" si="4"/>
        <v>-85.600000000000122</v>
      </c>
      <c r="T47">
        <f t="shared" si="3"/>
        <v>0.1399999758304496</v>
      </c>
    </row>
    <row r="48" spans="19:20" x14ac:dyDescent="0.25">
      <c r="S48">
        <f t="shared" si="4"/>
        <v>-84.800000000000125</v>
      </c>
      <c r="T48">
        <f t="shared" si="3"/>
        <v>0.1199999787281311</v>
      </c>
    </row>
    <row r="49" spans="19:20" x14ac:dyDescent="0.25">
      <c r="S49">
        <f t="shared" si="4"/>
        <v>-84.000000000000128</v>
      </c>
      <c r="T49">
        <f t="shared" si="3"/>
        <v>9.9999982180924027E-2</v>
      </c>
    </row>
    <row r="50" spans="19:20" x14ac:dyDescent="0.25">
      <c r="S50">
        <f t="shared" si="4"/>
        <v>-83.200000000000131</v>
      </c>
      <c r="T50">
        <f t="shared" si="3"/>
        <v>7.9999985078605534E-2</v>
      </c>
    </row>
    <row r="51" spans="19:20" x14ac:dyDescent="0.25">
      <c r="S51">
        <f t="shared" si="4"/>
        <v>-82.400000000000134</v>
      </c>
      <c r="T51">
        <f t="shared" si="3"/>
        <v>5.999998853139845E-2</v>
      </c>
    </row>
    <row r="52" spans="19:20" x14ac:dyDescent="0.25">
      <c r="S52">
        <f t="shared" si="4"/>
        <v>-81.600000000000136</v>
      </c>
      <c r="T52">
        <f t="shared" si="3"/>
        <v>3.9999992539302767E-2</v>
      </c>
    </row>
    <row r="53" spans="19:20" x14ac:dyDescent="0.25">
      <c r="S53">
        <f t="shared" si="4"/>
        <v>-80.800000000000139</v>
      </c>
      <c r="T53">
        <f t="shared" si="3"/>
        <v>1.9999995992095683E-2</v>
      </c>
    </row>
    <row r="54" spans="19:20" x14ac:dyDescent="0.25">
      <c r="S54">
        <f t="shared" si="4"/>
        <v>-80.000000000000142</v>
      </c>
      <c r="T54">
        <f t="shared" si="3"/>
        <v>0</v>
      </c>
    </row>
    <row r="55" spans="19:20" x14ac:dyDescent="0.25">
      <c r="S55">
        <f t="shared" si="4"/>
        <v>-79.200000000000145</v>
      </c>
      <c r="T55">
        <f t="shared" si="3"/>
        <v>0</v>
      </c>
    </row>
    <row r="56" spans="19:20" x14ac:dyDescent="0.25">
      <c r="S56">
        <f t="shared" si="4"/>
        <v>-78.400000000000148</v>
      </c>
      <c r="T56">
        <f t="shared" si="3"/>
        <v>0</v>
      </c>
    </row>
    <row r="57" spans="19:20" x14ac:dyDescent="0.25">
      <c r="S57">
        <f t="shared" si="4"/>
        <v>-77.600000000000151</v>
      </c>
      <c r="T57">
        <f t="shared" si="3"/>
        <v>0</v>
      </c>
    </row>
    <row r="58" spans="19:20" x14ac:dyDescent="0.25">
      <c r="S58">
        <f t="shared" si="4"/>
        <v>-76.800000000000153</v>
      </c>
      <c r="T58">
        <f t="shared" si="3"/>
        <v>0</v>
      </c>
    </row>
    <row r="59" spans="19:20" x14ac:dyDescent="0.25">
      <c r="S59">
        <f t="shared" si="4"/>
        <v>-76.000000000000156</v>
      </c>
      <c r="T59">
        <f t="shared" si="3"/>
        <v>0</v>
      </c>
    </row>
    <row r="60" spans="19:20" x14ac:dyDescent="0.25">
      <c r="S60">
        <f t="shared" si="4"/>
        <v>-75.200000000000159</v>
      </c>
      <c r="T60">
        <f t="shared" si="3"/>
        <v>0</v>
      </c>
    </row>
    <row r="61" spans="19:20" x14ac:dyDescent="0.25">
      <c r="S61">
        <f t="shared" si="4"/>
        <v>-74.400000000000162</v>
      </c>
      <c r="T61">
        <f t="shared" si="3"/>
        <v>0</v>
      </c>
    </row>
    <row r="62" spans="19:20" x14ac:dyDescent="0.25">
      <c r="S62">
        <f t="shared" si="4"/>
        <v>-73.600000000000165</v>
      </c>
      <c r="T62">
        <f t="shared" si="3"/>
        <v>0</v>
      </c>
    </row>
    <row r="63" spans="19:20" x14ac:dyDescent="0.25">
      <c r="S63">
        <f t="shared" si="4"/>
        <v>-72.800000000000168</v>
      </c>
      <c r="T63">
        <f t="shared" si="3"/>
        <v>0</v>
      </c>
    </row>
    <row r="64" spans="19:20" x14ac:dyDescent="0.25">
      <c r="S64">
        <f t="shared" si="4"/>
        <v>-72.000000000000171</v>
      </c>
      <c r="T64">
        <f t="shared" si="3"/>
        <v>0</v>
      </c>
    </row>
    <row r="65" spans="19:20" x14ac:dyDescent="0.25">
      <c r="S65">
        <f t="shared" si="4"/>
        <v>-71.200000000000173</v>
      </c>
      <c r="T65">
        <f t="shared" si="3"/>
        <v>0</v>
      </c>
    </row>
    <row r="66" spans="19:20" x14ac:dyDescent="0.25">
      <c r="S66">
        <f t="shared" si="4"/>
        <v>-70.400000000000176</v>
      </c>
      <c r="T66">
        <f t="shared" si="3"/>
        <v>0</v>
      </c>
    </row>
    <row r="67" spans="19:20" x14ac:dyDescent="0.25">
      <c r="S67">
        <f t="shared" si="4"/>
        <v>-69.600000000000179</v>
      </c>
      <c r="T67">
        <f t="shared" si="3"/>
        <v>0</v>
      </c>
    </row>
    <row r="68" spans="19:20" x14ac:dyDescent="0.25">
      <c r="S68">
        <f t="shared" si="4"/>
        <v>-68.800000000000182</v>
      </c>
      <c r="T68">
        <f t="shared" si="3"/>
        <v>0</v>
      </c>
    </row>
    <row r="69" spans="19:20" x14ac:dyDescent="0.25">
      <c r="S69">
        <f t="shared" si="4"/>
        <v>-68.000000000000185</v>
      </c>
      <c r="T69">
        <f t="shared" ref="T69:T105" si="5">IF(S69&lt;=MIN($A$2:$A$12),1,IF(S69&gt;=MAX($A$2:$A$12),0,(1/$B$16)*(1-EXP($B$14*(MAX($A$2:$A$12)-S69)^$B$15))))</f>
        <v>0</v>
      </c>
    </row>
    <row r="70" spans="19:20" x14ac:dyDescent="0.25">
      <c r="S70">
        <f t="shared" ref="S70:S105" si="6">S69+(MAX($A$2:$A$12)-$S$4)/50</f>
        <v>-67.200000000000188</v>
      </c>
      <c r="T70">
        <f t="shared" si="5"/>
        <v>0</v>
      </c>
    </row>
    <row r="71" spans="19:20" x14ac:dyDescent="0.25">
      <c r="S71">
        <f t="shared" si="6"/>
        <v>-66.40000000000019</v>
      </c>
      <c r="T71">
        <f t="shared" si="5"/>
        <v>0</v>
      </c>
    </row>
    <row r="72" spans="19:20" x14ac:dyDescent="0.25">
      <c r="S72">
        <f t="shared" si="6"/>
        <v>-65.600000000000193</v>
      </c>
      <c r="T72">
        <f t="shared" si="5"/>
        <v>0</v>
      </c>
    </row>
    <row r="73" spans="19:20" x14ac:dyDescent="0.25">
      <c r="S73">
        <f t="shared" si="6"/>
        <v>-64.800000000000196</v>
      </c>
      <c r="T73">
        <f t="shared" si="5"/>
        <v>0</v>
      </c>
    </row>
    <row r="74" spans="19:20" x14ac:dyDescent="0.25">
      <c r="S74">
        <f t="shared" si="6"/>
        <v>-64.000000000000199</v>
      </c>
      <c r="T74">
        <f t="shared" si="5"/>
        <v>0</v>
      </c>
    </row>
    <row r="75" spans="19:20" x14ac:dyDescent="0.25">
      <c r="S75">
        <f t="shared" si="6"/>
        <v>-63.200000000000202</v>
      </c>
      <c r="T75">
        <f t="shared" si="5"/>
        <v>0</v>
      </c>
    </row>
    <row r="76" spans="19:20" x14ac:dyDescent="0.25">
      <c r="S76">
        <f t="shared" si="6"/>
        <v>-62.400000000000205</v>
      </c>
      <c r="T76">
        <f t="shared" si="5"/>
        <v>0</v>
      </c>
    </row>
    <row r="77" spans="19:20" x14ac:dyDescent="0.25">
      <c r="S77">
        <f t="shared" si="6"/>
        <v>-61.600000000000207</v>
      </c>
      <c r="T77">
        <f t="shared" si="5"/>
        <v>0</v>
      </c>
    </row>
    <row r="78" spans="19:20" x14ac:dyDescent="0.25">
      <c r="S78">
        <f t="shared" si="6"/>
        <v>-60.80000000000021</v>
      </c>
      <c r="T78">
        <f t="shared" si="5"/>
        <v>0</v>
      </c>
    </row>
    <row r="79" spans="19:20" x14ac:dyDescent="0.25">
      <c r="S79">
        <f t="shared" si="6"/>
        <v>-60.000000000000213</v>
      </c>
      <c r="T79">
        <f t="shared" si="5"/>
        <v>0</v>
      </c>
    </row>
    <row r="80" spans="19:20" x14ac:dyDescent="0.25">
      <c r="S80">
        <f t="shared" si="6"/>
        <v>-59.200000000000216</v>
      </c>
      <c r="T80">
        <f t="shared" si="5"/>
        <v>0</v>
      </c>
    </row>
    <row r="81" spans="19:20" x14ac:dyDescent="0.25">
      <c r="S81">
        <f t="shared" si="6"/>
        <v>-58.400000000000219</v>
      </c>
      <c r="T81">
        <f t="shared" si="5"/>
        <v>0</v>
      </c>
    </row>
    <row r="82" spans="19:20" x14ac:dyDescent="0.25">
      <c r="S82">
        <f t="shared" si="6"/>
        <v>-57.600000000000222</v>
      </c>
      <c r="T82">
        <f t="shared" si="5"/>
        <v>0</v>
      </c>
    </row>
    <row r="83" spans="19:20" x14ac:dyDescent="0.25">
      <c r="S83">
        <f t="shared" si="6"/>
        <v>-56.800000000000225</v>
      </c>
      <c r="T83">
        <f t="shared" si="5"/>
        <v>0</v>
      </c>
    </row>
    <row r="84" spans="19:20" x14ac:dyDescent="0.25">
      <c r="S84">
        <f t="shared" si="6"/>
        <v>-56.000000000000227</v>
      </c>
      <c r="T84">
        <f t="shared" si="5"/>
        <v>0</v>
      </c>
    </row>
    <row r="85" spans="19:20" x14ac:dyDescent="0.25">
      <c r="S85">
        <f t="shared" si="6"/>
        <v>-55.20000000000023</v>
      </c>
      <c r="T85">
        <f t="shared" si="5"/>
        <v>0</v>
      </c>
    </row>
    <row r="86" spans="19:20" x14ac:dyDescent="0.25">
      <c r="S86">
        <f t="shared" si="6"/>
        <v>-54.400000000000233</v>
      </c>
      <c r="T86">
        <f t="shared" si="5"/>
        <v>0</v>
      </c>
    </row>
    <row r="87" spans="19:20" x14ac:dyDescent="0.25">
      <c r="S87">
        <f t="shared" si="6"/>
        <v>-53.600000000000236</v>
      </c>
      <c r="T87">
        <f t="shared" si="5"/>
        <v>0</v>
      </c>
    </row>
    <row r="88" spans="19:20" x14ac:dyDescent="0.25">
      <c r="S88">
        <f t="shared" si="6"/>
        <v>-52.800000000000239</v>
      </c>
      <c r="T88">
        <f t="shared" si="5"/>
        <v>0</v>
      </c>
    </row>
    <row r="89" spans="19:20" x14ac:dyDescent="0.25">
      <c r="S89">
        <f t="shared" si="6"/>
        <v>-52.000000000000242</v>
      </c>
      <c r="T89">
        <f t="shared" si="5"/>
        <v>0</v>
      </c>
    </row>
    <row r="90" spans="19:20" x14ac:dyDescent="0.25">
      <c r="S90">
        <f t="shared" si="6"/>
        <v>-51.200000000000244</v>
      </c>
      <c r="T90">
        <f t="shared" si="5"/>
        <v>0</v>
      </c>
    </row>
    <row r="91" spans="19:20" x14ac:dyDescent="0.25">
      <c r="S91">
        <f t="shared" si="6"/>
        <v>-50.400000000000247</v>
      </c>
      <c r="T91">
        <f t="shared" si="5"/>
        <v>0</v>
      </c>
    </row>
    <row r="92" spans="19:20" x14ac:dyDescent="0.25">
      <c r="S92">
        <f t="shared" si="6"/>
        <v>-49.60000000000025</v>
      </c>
      <c r="T92">
        <f t="shared" si="5"/>
        <v>0</v>
      </c>
    </row>
    <row r="93" spans="19:20" x14ac:dyDescent="0.25">
      <c r="S93">
        <f t="shared" si="6"/>
        <v>-48.800000000000253</v>
      </c>
      <c r="T93">
        <f t="shared" si="5"/>
        <v>0</v>
      </c>
    </row>
    <row r="94" spans="19:20" x14ac:dyDescent="0.25">
      <c r="S94">
        <f t="shared" si="6"/>
        <v>-48.000000000000256</v>
      </c>
      <c r="T94">
        <f t="shared" si="5"/>
        <v>0</v>
      </c>
    </row>
    <row r="95" spans="19:20" x14ac:dyDescent="0.25">
      <c r="S95">
        <f t="shared" si="6"/>
        <v>-47.200000000000259</v>
      </c>
      <c r="T95">
        <f t="shared" si="5"/>
        <v>0</v>
      </c>
    </row>
    <row r="96" spans="19:20" x14ac:dyDescent="0.25">
      <c r="S96">
        <f t="shared" si="6"/>
        <v>-46.400000000000261</v>
      </c>
      <c r="T96">
        <f t="shared" si="5"/>
        <v>0</v>
      </c>
    </row>
    <row r="97" spans="19:20" x14ac:dyDescent="0.25">
      <c r="S97">
        <f t="shared" si="6"/>
        <v>-45.600000000000264</v>
      </c>
      <c r="T97">
        <f t="shared" si="5"/>
        <v>0</v>
      </c>
    </row>
    <row r="98" spans="19:20" x14ac:dyDescent="0.25">
      <c r="S98">
        <f t="shared" si="6"/>
        <v>-44.800000000000267</v>
      </c>
      <c r="T98">
        <f t="shared" si="5"/>
        <v>0</v>
      </c>
    </row>
    <row r="99" spans="19:20" x14ac:dyDescent="0.25">
      <c r="S99">
        <f t="shared" si="6"/>
        <v>-44.00000000000027</v>
      </c>
      <c r="T99">
        <f t="shared" si="5"/>
        <v>0</v>
      </c>
    </row>
    <row r="100" spans="19:20" x14ac:dyDescent="0.25">
      <c r="S100">
        <f t="shared" si="6"/>
        <v>-43.200000000000273</v>
      </c>
      <c r="T100">
        <f t="shared" si="5"/>
        <v>0</v>
      </c>
    </row>
    <row r="101" spans="19:20" x14ac:dyDescent="0.25">
      <c r="S101">
        <f t="shared" si="6"/>
        <v>-42.400000000000276</v>
      </c>
      <c r="T101">
        <f t="shared" si="5"/>
        <v>0</v>
      </c>
    </row>
    <row r="102" spans="19:20" x14ac:dyDescent="0.25">
      <c r="S102">
        <f t="shared" si="6"/>
        <v>-41.600000000000279</v>
      </c>
      <c r="T102">
        <f t="shared" si="5"/>
        <v>0</v>
      </c>
    </row>
    <row r="103" spans="19:20" x14ac:dyDescent="0.25">
      <c r="S103">
        <f t="shared" si="6"/>
        <v>-40.800000000000281</v>
      </c>
      <c r="T103">
        <f t="shared" si="5"/>
        <v>0</v>
      </c>
    </row>
    <row r="104" spans="19:20" x14ac:dyDescent="0.25">
      <c r="S104">
        <f t="shared" si="6"/>
        <v>-40.000000000000284</v>
      </c>
      <c r="T104">
        <f t="shared" si="5"/>
        <v>0</v>
      </c>
    </row>
    <row r="105" spans="19:20" x14ac:dyDescent="0.25">
      <c r="S105">
        <f t="shared" si="6"/>
        <v>-39.200000000000287</v>
      </c>
      <c r="T105">
        <f t="shared" si="5"/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B22" sqref="B22"/>
    </sheetView>
  </sheetViews>
  <sheetFormatPr defaultRowHeight="15" x14ac:dyDescent="0.25"/>
  <cols>
    <col min="1" max="1" width="16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7" t="s">
        <v>89</v>
      </c>
      <c r="B1" s="7" t="s">
        <v>66</v>
      </c>
    </row>
    <row r="2" spans="1:17" x14ac:dyDescent="0.25">
      <c r="A2" t="s">
        <v>28</v>
      </c>
      <c r="B2">
        <v>0</v>
      </c>
      <c r="P2" s="5"/>
      <c r="Q2" s="5"/>
    </row>
    <row r="3" spans="1:17" x14ac:dyDescent="0.25">
      <c r="A3" t="s">
        <v>55</v>
      </c>
      <c r="B3">
        <v>1</v>
      </c>
      <c r="P3" s="5"/>
      <c r="Q3" s="5"/>
    </row>
    <row r="4" spans="1:17" x14ac:dyDescent="0.25">
      <c r="A4" t="s">
        <v>53</v>
      </c>
      <c r="B4">
        <v>1</v>
      </c>
      <c r="P4" s="5"/>
      <c r="Q4" s="5"/>
    </row>
    <row r="5" spans="1:17" x14ac:dyDescent="0.25">
      <c r="P5" s="5"/>
      <c r="Q5" s="5"/>
    </row>
    <row r="6" spans="1:17" x14ac:dyDescent="0.25">
      <c r="P6" s="5"/>
      <c r="Q6" s="5"/>
    </row>
    <row r="7" spans="1:17" x14ac:dyDescent="0.25">
      <c r="P7" s="5"/>
      <c r="Q7" s="5"/>
    </row>
    <row r="8" spans="1:17" x14ac:dyDescent="0.25">
      <c r="P8" s="5"/>
      <c r="Q8" s="5"/>
    </row>
    <row r="9" spans="1:17" x14ac:dyDescent="0.25">
      <c r="P9" s="5"/>
      <c r="Q9" s="5"/>
    </row>
    <row r="10" spans="1:17" x14ac:dyDescent="0.25">
      <c r="P10" s="5"/>
      <c r="Q10" s="5"/>
    </row>
    <row r="11" spans="1:17" x14ac:dyDescent="0.25">
      <c r="P11" s="5"/>
      <c r="Q11" s="5"/>
    </row>
    <row r="13" spans="1:17" x14ac:dyDescent="0.25">
      <c r="B13" s="6"/>
      <c r="Q13" s="5"/>
    </row>
    <row r="14" spans="1:17" x14ac:dyDescent="0.25">
      <c r="B14" s="5"/>
    </row>
    <row r="15" spans="1:17" x14ac:dyDescent="0.25">
      <c r="B15" s="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A5" sqref="A5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7" t="s">
        <v>94</v>
      </c>
      <c r="B1" s="7" t="s">
        <v>66</v>
      </c>
    </row>
    <row r="2" spans="1:17" x14ac:dyDescent="0.25">
      <c r="A2" t="s">
        <v>54</v>
      </c>
      <c r="B2">
        <v>0</v>
      </c>
      <c r="P2" s="5"/>
      <c r="Q2" s="5"/>
    </row>
    <row r="3" spans="1:17" x14ac:dyDescent="0.25">
      <c r="A3" t="s">
        <v>34</v>
      </c>
      <c r="B3">
        <v>0.8</v>
      </c>
      <c r="P3" s="5"/>
      <c r="Q3" s="5"/>
    </row>
    <row r="4" spans="1:17" x14ac:dyDescent="0.25">
      <c r="A4" t="s">
        <v>36</v>
      </c>
      <c r="B4">
        <v>1</v>
      </c>
      <c r="P4" s="5"/>
      <c r="Q4" s="5"/>
    </row>
    <row r="5" spans="1:17" x14ac:dyDescent="0.25">
      <c r="P5" s="5"/>
      <c r="Q5" s="5"/>
    </row>
    <row r="6" spans="1:17" x14ac:dyDescent="0.25">
      <c r="P6" s="5"/>
      <c r="Q6" s="5"/>
    </row>
    <row r="7" spans="1:17" x14ac:dyDescent="0.25">
      <c r="P7" s="5"/>
      <c r="Q7" s="5"/>
    </row>
    <row r="8" spans="1:17" x14ac:dyDescent="0.25">
      <c r="P8" s="5"/>
      <c r="Q8" s="5"/>
    </row>
    <row r="9" spans="1:17" x14ac:dyDescent="0.25">
      <c r="P9" s="5"/>
      <c r="Q9" s="5"/>
    </row>
    <row r="10" spans="1:17" x14ac:dyDescent="0.25">
      <c r="P10" s="5"/>
      <c r="Q10" s="5"/>
    </row>
    <row r="11" spans="1:17" x14ac:dyDescent="0.25">
      <c r="P11" s="5"/>
      <c r="Q11" s="5"/>
    </row>
    <row r="12" spans="1:17" x14ac:dyDescent="0.25">
      <c r="P12" s="5"/>
      <c r="Q12" s="5"/>
    </row>
    <row r="14" spans="1:17" x14ac:dyDescent="0.25">
      <c r="B14" s="6"/>
      <c r="Q14" s="5"/>
    </row>
    <row r="15" spans="1:17" x14ac:dyDescent="0.25">
      <c r="B15" s="5"/>
    </row>
    <row r="16" spans="1:17" x14ac:dyDescent="0.25">
      <c r="B16" s="5"/>
    </row>
  </sheetData>
  <sortState ref="A2:B6">
    <sortCondition ref="B2:B6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B16" sqref="B16"/>
    </sheetView>
  </sheetViews>
  <sheetFormatPr defaultRowHeight="15" x14ac:dyDescent="0.25"/>
  <cols>
    <col min="1" max="1" width="14.7109375" bestFit="1" customWidth="1"/>
    <col min="2" max="2" width="14.5703125" customWidth="1"/>
    <col min="16" max="16" width="15.7109375" bestFit="1" customWidth="1"/>
    <col min="17" max="17" width="18.7109375" bestFit="1" customWidth="1"/>
  </cols>
  <sheetData>
    <row r="1" spans="1:20" x14ac:dyDescent="0.25">
      <c r="A1" s="7" t="s">
        <v>87</v>
      </c>
      <c r="B1" s="7" t="s">
        <v>66</v>
      </c>
      <c r="P1" t="s">
        <v>69</v>
      </c>
      <c r="Q1" t="s">
        <v>70</v>
      </c>
    </row>
    <row r="2" spans="1:20" x14ac:dyDescent="0.25">
      <c r="A2">
        <v>100</v>
      </c>
      <c r="B2">
        <v>0</v>
      </c>
      <c r="P2" s="5">
        <f>(1-EXP($B$14*(MAX($A$2:$A$12)-A2)^$B$15))/$B$16</f>
        <v>0</v>
      </c>
      <c r="Q2" s="5">
        <f>(P2-B2)^2</f>
        <v>0</v>
      </c>
    </row>
    <row r="3" spans="1:20" x14ac:dyDescent="0.25">
      <c r="A3">
        <v>62</v>
      </c>
      <c r="B3">
        <v>0.2</v>
      </c>
      <c r="P3" s="5">
        <f t="shared" ref="P3:P12" si="0">(1-EXP($B$14*(MAX($A$2:$A$12)-A3)^$B$15))/$B$16</f>
        <v>0.19304220761846033</v>
      </c>
      <c r="Q3" s="5">
        <f t="shared" ref="Q3:Q12" si="1">(P3-B3)^2</f>
        <v>4.8410874824611602E-5</v>
      </c>
      <c r="S3" t="s">
        <v>72</v>
      </c>
      <c r="T3" t="s">
        <v>73</v>
      </c>
    </row>
    <row r="4" spans="1:20" x14ac:dyDescent="0.25">
      <c r="A4">
        <v>43</v>
      </c>
      <c r="B4">
        <v>0.4</v>
      </c>
      <c r="P4" s="5">
        <f t="shared" si="0"/>
        <v>0.42800880393171814</v>
      </c>
      <c r="Q4" s="5">
        <f t="shared" si="1"/>
        <v>7.8449309768542836E-4</v>
      </c>
      <c r="S4">
        <f>MIN(A2:A12)</f>
        <v>20</v>
      </c>
      <c r="T4">
        <f>IF(S4&lt;=MIN($A$2:$A$12),1,IF(S4&gt;=MAX($A$2:$A$12),0,(1/$B$16)*(1-EXP($B$14*(MAX($A$2:$A$12)-S4)^$B$15))))</f>
        <v>1</v>
      </c>
    </row>
    <row r="5" spans="1:20" x14ac:dyDescent="0.25">
      <c r="A5">
        <v>40</v>
      </c>
      <c r="B5">
        <v>0.5</v>
      </c>
      <c r="P5" s="5">
        <f t="shared" si="0"/>
        <v>0.48043740446803207</v>
      </c>
      <c r="Q5" s="5">
        <f t="shared" si="1"/>
        <v>3.8269514394737161E-4</v>
      </c>
      <c r="S5">
        <f>S4+(MAX($A$2:$A$12)-$S$4)/50</f>
        <v>21.6</v>
      </c>
      <c r="T5">
        <f t="shared" ref="T5:T68" si="2">IF(S5&lt;=MIN($A$2:$A$12),1,IF(S5&gt;=MAX($A$2:$A$12),0,(1/$B$16)*(1-EXP($B$14*(MAX($A$2:$A$12)-S5)^$B$15))))</f>
        <v>0.94470619065180261</v>
      </c>
    </row>
    <row r="6" spans="1:20" x14ac:dyDescent="0.25">
      <c r="A6">
        <v>35</v>
      </c>
      <c r="B6">
        <v>0.6</v>
      </c>
      <c r="P6" s="5">
        <f t="shared" si="0"/>
        <v>0.58018659345386026</v>
      </c>
      <c r="Q6" s="5">
        <f t="shared" si="1"/>
        <v>3.9257107896261242E-4</v>
      </c>
      <c r="S6">
        <f t="shared" ref="S6:S69" si="3">S5+(MAX($A$2:$A$12)-$S$4)/50</f>
        <v>23.200000000000003</v>
      </c>
      <c r="T6">
        <f t="shared" si="2"/>
        <v>0.89225577446127879</v>
      </c>
    </row>
    <row r="7" spans="1:20" x14ac:dyDescent="0.25">
      <c r="A7">
        <v>30</v>
      </c>
      <c r="B7">
        <v>0.7</v>
      </c>
      <c r="P7" s="5">
        <f t="shared" si="0"/>
        <v>0.69779180015502273</v>
      </c>
      <c r="Q7" s="5">
        <f t="shared" si="1"/>
        <v>4.8761465553574235E-6</v>
      </c>
      <c r="S7">
        <f t="shared" si="3"/>
        <v>24.800000000000004</v>
      </c>
      <c r="T7">
        <f t="shared" si="2"/>
        <v>0.84250196806982192</v>
      </c>
    </row>
    <row r="8" spans="1:20" x14ac:dyDescent="0.25">
      <c r="A8">
        <v>26</v>
      </c>
      <c r="B8">
        <v>0.8</v>
      </c>
      <c r="P8" s="5">
        <f t="shared" si="0"/>
        <v>0.80687226308433269</v>
      </c>
      <c r="Q8" s="5">
        <f t="shared" si="1"/>
        <v>4.7227999900281192E-5</v>
      </c>
      <c r="S8">
        <f t="shared" si="3"/>
        <v>26.400000000000006</v>
      </c>
      <c r="T8">
        <f t="shared" si="2"/>
        <v>0.79530559096395625</v>
      </c>
    </row>
    <row r="9" spans="1:20" x14ac:dyDescent="0.25">
      <c r="A9">
        <v>24</v>
      </c>
      <c r="B9">
        <v>0.85</v>
      </c>
      <c r="P9" s="5">
        <f t="shared" si="0"/>
        <v>0.86705066728533919</v>
      </c>
      <c r="Q9" s="5">
        <f t="shared" si="1"/>
        <v>2.9072525487533701E-4</v>
      </c>
      <c r="S9">
        <f t="shared" si="3"/>
        <v>28.000000000000007</v>
      </c>
      <c r="T9">
        <f t="shared" si="2"/>
        <v>0.75053467071780366</v>
      </c>
    </row>
    <row r="10" spans="1:20" x14ac:dyDescent="0.25">
      <c r="A10">
        <v>22</v>
      </c>
      <c r="B10">
        <v>0.9</v>
      </c>
      <c r="P10" s="5">
        <f t="shared" si="0"/>
        <v>0.93133288598767316</v>
      </c>
      <c r="Q10" s="5">
        <f t="shared" si="1"/>
        <v>9.8174974431652386E-4</v>
      </c>
      <c r="S10">
        <f t="shared" si="3"/>
        <v>29.600000000000009</v>
      </c>
      <c r="T10">
        <f t="shared" si="2"/>
        <v>0.70806406878605066</v>
      </c>
    </row>
    <row r="11" spans="1:20" x14ac:dyDescent="0.25">
      <c r="A11">
        <v>21</v>
      </c>
      <c r="B11">
        <v>0.95</v>
      </c>
      <c r="P11" s="5">
        <f t="shared" si="0"/>
        <v>0.9651000238548495</v>
      </c>
      <c r="Q11" s="5">
        <f t="shared" si="1"/>
        <v>2.2801072041702522E-4</v>
      </c>
      <c r="S11">
        <f t="shared" si="3"/>
        <v>31.20000000000001</v>
      </c>
      <c r="T11">
        <f t="shared" si="2"/>
        <v>0.66777512577633436</v>
      </c>
    </row>
    <row r="12" spans="1:20" x14ac:dyDescent="0.25">
      <c r="A12">
        <v>20</v>
      </c>
      <c r="B12">
        <v>1</v>
      </c>
      <c r="P12" s="5">
        <f t="shared" si="0"/>
        <v>1</v>
      </c>
      <c r="Q12" s="5">
        <f t="shared" si="1"/>
        <v>0</v>
      </c>
      <c r="S12">
        <f t="shared" si="3"/>
        <v>32.800000000000011</v>
      </c>
      <c r="T12">
        <f t="shared" si="2"/>
        <v>0.62955532518596036</v>
      </c>
    </row>
    <row r="13" spans="1:20" x14ac:dyDescent="0.25">
      <c r="S13">
        <f t="shared" si="3"/>
        <v>34.400000000000013</v>
      </c>
      <c r="T13">
        <f t="shared" si="2"/>
        <v>0.59329797464102674</v>
      </c>
    </row>
    <row r="14" spans="1:20" x14ac:dyDescent="0.25">
      <c r="A14" t="s">
        <v>67</v>
      </c>
      <c r="B14" s="6">
        <v>2.9865036705476307E-2</v>
      </c>
      <c r="O14" t="s">
        <v>71</v>
      </c>
      <c r="Q14" s="5">
        <f>SUM(Q2:Q12)</f>
        <v>3.1607600614845491E-3</v>
      </c>
      <c r="S14">
        <f t="shared" si="3"/>
        <v>36.000000000000014</v>
      </c>
      <c r="T14">
        <f t="shared" si="2"/>
        <v>0.55890190372635551</v>
      </c>
    </row>
    <row r="15" spans="1:20" x14ac:dyDescent="0.25">
      <c r="A15" t="s">
        <v>74</v>
      </c>
      <c r="B15" s="5">
        <v>1.0173624302245974</v>
      </c>
      <c r="S15">
        <f t="shared" si="3"/>
        <v>37.600000000000016</v>
      </c>
      <c r="T15">
        <f t="shared" si="2"/>
        <v>0.52627117754241881</v>
      </c>
    </row>
    <row r="16" spans="1:20" x14ac:dyDescent="0.25">
      <c r="A16" t="s">
        <v>68</v>
      </c>
      <c r="B16" s="5">
        <f>1-EXP($B$14*(MAX($A$2:$A$12)-MIN($A$2:$A$12))^$B$15)</f>
        <v>-12.171739298879714</v>
      </c>
      <c r="S16">
        <f t="shared" si="3"/>
        <v>39.200000000000017</v>
      </c>
      <c r="T16">
        <f t="shared" si="2"/>
        <v>0.49531482517067676</v>
      </c>
    </row>
    <row r="17" spans="19:20" x14ac:dyDescent="0.25">
      <c r="S17">
        <f t="shared" si="3"/>
        <v>40.800000000000018</v>
      </c>
      <c r="T17">
        <f t="shared" si="2"/>
        <v>0.46594658227175151</v>
      </c>
    </row>
    <row r="18" spans="19:20" x14ac:dyDescent="0.25">
      <c r="S18">
        <f t="shared" si="3"/>
        <v>42.40000000000002</v>
      </c>
      <c r="T18">
        <f t="shared" si="2"/>
        <v>0.43808464708153816</v>
      </c>
    </row>
    <row r="19" spans="19:20" x14ac:dyDescent="0.25">
      <c r="S19">
        <f t="shared" si="3"/>
        <v>44.000000000000021</v>
      </c>
      <c r="T19">
        <f t="shared" si="2"/>
        <v>0.41165144910901952</v>
      </c>
    </row>
    <row r="20" spans="19:20" x14ac:dyDescent="0.25">
      <c r="S20">
        <f t="shared" si="3"/>
        <v>45.600000000000023</v>
      </c>
      <c r="T20">
        <f t="shared" si="2"/>
        <v>0.38657342987627696</v>
      </c>
    </row>
    <row r="21" spans="19:20" x14ac:dyDescent="0.25">
      <c r="S21">
        <f t="shared" si="3"/>
        <v>47.200000000000024</v>
      </c>
      <c r="T21">
        <f t="shared" si="2"/>
        <v>0.36278083507597125</v>
      </c>
    </row>
    <row r="22" spans="19:20" x14ac:dyDescent="0.25">
      <c r="S22">
        <f t="shared" si="3"/>
        <v>48.800000000000026</v>
      </c>
      <c r="T22">
        <f t="shared" si="2"/>
        <v>0.34020751755473588</v>
      </c>
    </row>
    <row r="23" spans="19:20" x14ac:dyDescent="0.25">
      <c r="S23">
        <f t="shared" si="3"/>
        <v>50.400000000000027</v>
      </c>
      <c r="T23">
        <f t="shared" si="2"/>
        <v>0.31879075056238915</v>
      </c>
    </row>
    <row r="24" spans="19:20" x14ac:dyDescent="0.25">
      <c r="S24">
        <f t="shared" si="3"/>
        <v>52.000000000000028</v>
      </c>
      <c r="T24">
        <f t="shared" si="2"/>
        <v>0.29847105073688152</v>
      </c>
    </row>
    <row r="25" spans="19:20" x14ac:dyDescent="0.25">
      <c r="S25">
        <f t="shared" si="3"/>
        <v>53.60000000000003</v>
      </c>
      <c r="T25">
        <f t="shared" si="2"/>
        <v>0.27919201032349611</v>
      </c>
    </row>
    <row r="26" spans="19:20" x14ac:dyDescent="0.25">
      <c r="S26">
        <f t="shared" si="3"/>
        <v>55.200000000000031</v>
      </c>
      <c r="T26">
        <f t="shared" si="2"/>
        <v>0.26090013815418472</v>
      </c>
    </row>
    <row r="27" spans="19:20" x14ac:dyDescent="0.25">
      <c r="S27">
        <f t="shared" si="3"/>
        <v>56.800000000000033</v>
      </c>
      <c r="T27">
        <f t="shared" si="2"/>
        <v>0.24354470893914343</v>
      </c>
    </row>
    <row r="28" spans="19:20" x14ac:dyDescent="0.25">
      <c r="S28">
        <f t="shared" si="3"/>
        <v>58.400000000000034</v>
      </c>
      <c r="T28">
        <f t="shared" si="2"/>
        <v>0.22707762044799029</v>
      </c>
    </row>
    <row r="29" spans="19:20" x14ac:dyDescent="0.25">
      <c r="S29">
        <f t="shared" si="3"/>
        <v>60.000000000000036</v>
      </c>
      <c r="T29">
        <f t="shared" si="2"/>
        <v>0.21145325818237623</v>
      </c>
    </row>
    <row r="30" spans="19:20" x14ac:dyDescent="0.25">
      <c r="S30">
        <f t="shared" si="3"/>
        <v>61.600000000000037</v>
      </c>
      <c r="T30">
        <f t="shared" si="2"/>
        <v>0.19662836716573526</v>
      </c>
    </row>
    <row r="31" spans="19:20" x14ac:dyDescent="0.25">
      <c r="S31">
        <f t="shared" si="3"/>
        <v>63.200000000000038</v>
      </c>
      <c r="T31">
        <f t="shared" si="2"/>
        <v>0.18256193049945157</v>
      </c>
    </row>
    <row r="32" spans="19:20" x14ac:dyDescent="0.25">
      <c r="S32">
        <f t="shared" si="3"/>
        <v>64.80000000000004</v>
      </c>
      <c r="T32">
        <f t="shared" si="2"/>
        <v>0.16921505435832301</v>
      </c>
    </row>
    <row r="33" spans="19:20" x14ac:dyDescent="0.25">
      <c r="S33">
        <f t="shared" si="3"/>
        <v>66.400000000000034</v>
      </c>
      <c r="T33">
        <f t="shared" si="2"/>
        <v>0.15655085912230421</v>
      </c>
    </row>
    <row r="34" spans="19:20" x14ac:dyDescent="0.25">
      <c r="S34">
        <f t="shared" si="3"/>
        <v>68.000000000000028</v>
      </c>
      <c r="T34">
        <f t="shared" si="2"/>
        <v>0.14453437636677866</v>
      </c>
    </row>
    <row r="35" spans="19:20" x14ac:dyDescent="0.25">
      <c r="S35">
        <f t="shared" si="3"/>
        <v>69.600000000000023</v>
      </c>
      <c r="T35">
        <f t="shared" si="2"/>
        <v>0.13313245146093838</v>
      </c>
    </row>
    <row r="36" spans="19:20" x14ac:dyDescent="0.25">
      <c r="S36">
        <f t="shared" si="3"/>
        <v>71.200000000000017</v>
      </c>
      <c r="T36">
        <f t="shared" si="2"/>
        <v>0.12231365155462917</v>
      </c>
    </row>
    <row r="37" spans="19:20" x14ac:dyDescent="0.25">
      <c r="S37">
        <f t="shared" si="3"/>
        <v>72.800000000000011</v>
      </c>
      <c r="T37">
        <f t="shared" si="2"/>
        <v>0.11204817877023643</v>
      </c>
    </row>
    <row r="38" spans="19:20" x14ac:dyDescent="0.25">
      <c r="S38">
        <f t="shared" si="3"/>
        <v>74.400000000000006</v>
      </c>
      <c r="T38">
        <f t="shared" si="2"/>
        <v>0.10230778846098522</v>
      </c>
    </row>
    <row r="39" spans="19:20" x14ac:dyDescent="0.25">
      <c r="S39">
        <f t="shared" si="3"/>
        <v>76</v>
      </c>
      <c r="T39">
        <f t="shared" si="2"/>
        <v>9.3065712455261768E-2</v>
      </c>
    </row>
    <row r="40" spans="19:20" x14ac:dyDescent="0.25">
      <c r="S40">
        <f t="shared" si="3"/>
        <v>77.599999999999994</v>
      </c>
      <c r="T40">
        <f t="shared" si="2"/>
        <v>8.4296587286152136E-2</v>
      </c>
    </row>
    <row r="41" spans="19:20" x14ac:dyDescent="0.25">
      <c r="S41">
        <f t="shared" si="3"/>
        <v>79.199999999999989</v>
      </c>
      <c r="T41">
        <f t="shared" si="2"/>
        <v>7.5976387519425273E-2</v>
      </c>
    </row>
    <row r="42" spans="19:20" x14ac:dyDescent="0.25">
      <c r="S42">
        <f t="shared" si="3"/>
        <v>80.799999999999983</v>
      </c>
      <c r="T42">
        <f t="shared" si="2"/>
        <v>6.8082364464114822E-2</v>
      </c>
    </row>
    <row r="43" spans="19:20" x14ac:dyDescent="0.25">
      <c r="S43">
        <f t="shared" si="3"/>
        <v>82.399999999999977</v>
      </c>
      <c r="T43">
        <f t="shared" si="2"/>
        <v>6.0592990817502752E-2</v>
      </c>
    </row>
    <row r="44" spans="19:20" x14ac:dyDescent="0.25">
      <c r="S44">
        <f t="shared" si="3"/>
        <v>83.999999999999972</v>
      </c>
      <c r="T44">
        <f t="shared" si="2"/>
        <v>5.34879122341324E-2</v>
      </c>
    </row>
    <row r="45" spans="19:20" x14ac:dyDescent="0.25">
      <c r="S45">
        <f t="shared" si="3"/>
        <v>85.599999999999966</v>
      </c>
      <c r="T45">
        <f t="shared" si="2"/>
        <v>4.6747907558312103E-2</v>
      </c>
    </row>
    <row r="46" spans="19:20" x14ac:dyDescent="0.25">
      <c r="S46">
        <f t="shared" si="3"/>
        <v>87.19999999999996</v>
      </c>
      <c r="T46">
        <f t="shared" si="2"/>
        <v>4.0354860810116203E-2</v>
      </c>
    </row>
    <row r="47" spans="19:20" x14ac:dyDescent="0.25">
      <c r="S47">
        <f t="shared" si="3"/>
        <v>88.799999999999955</v>
      </c>
      <c r="T47">
        <f t="shared" si="2"/>
        <v>3.4291750592007494E-2</v>
      </c>
    </row>
    <row r="48" spans="19:20" x14ac:dyDescent="0.25">
      <c r="S48">
        <f t="shared" si="3"/>
        <v>90.399999999999949</v>
      </c>
      <c r="T48">
        <f t="shared" si="2"/>
        <v>2.8542667850994713E-2</v>
      </c>
    </row>
    <row r="49" spans="19:20" x14ac:dyDescent="0.25">
      <c r="S49">
        <f t="shared" si="3"/>
        <v>91.999999999999943</v>
      </c>
      <c r="T49">
        <f t="shared" si="2"/>
        <v>2.3092884654615752E-2</v>
      </c>
    </row>
    <row r="50" spans="19:20" x14ac:dyDescent="0.25">
      <c r="S50">
        <f t="shared" si="3"/>
        <v>93.599999999999937</v>
      </c>
      <c r="T50">
        <f t="shared" si="2"/>
        <v>1.7929025749887483E-2</v>
      </c>
    </row>
    <row r="51" spans="19:20" x14ac:dyDescent="0.25">
      <c r="S51">
        <f t="shared" si="3"/>
        <v>95.199999999999932</v>
      </c>
      <c r="T51">
        <f t="shared" si="2"/>
        <v>1.3039478561259879E-2</v>
      </c>
    </row>
    <row r="52" spans="19:20" x14ac:dyDescent="0.25">
      <c r="S52">
        <f t="shared" si="3"/>
        <v>96.799999999999926</v>
      </c>
      <c r="T52">
        <f t="shared" si="2"/>
        <v>8.4154782289077648E-3</v>
      </c>
    </row>
    <row r="53" spans="19:20" x14ac:dyDescent="0.25">
      <c r="S53">
        <f t="shared" si="3"/>
        <v>98.39999999999992</v>
      </c>
      <c r="T53">
        <f t="shared" si="2"/>
        <v>4.054876267159971E-3</v>
      </c>
    </row>
    <row r="54" spans="19:20" x14ac:dyDescent="0.25">
      <c r="S54">
        <f t="shared" si="3"/>
        <v>99.999999999999915</v>
      </c>
      <c r="T54">
        <f t="shared" si="2"/>
        <v>1.2769844935951576E-16</v>
      </c>
    </row>
    <row r="55" spans="19:20" x14ac:dyDescent="0.25">
      <c r="S55">
        <f t="shared" si="3"/>
        <v>101.59999999999991</v>
      </c>
      <c r="T55">
        <f t="shared" si="2"/>
        <v>0</v>
      </c>
    </row>
    <row r="56" spans="19:20" x14ac:dyDescent="0.25">
      <c r="S56">
        <f t="shared" si="3"/>
        <v>103.1999999999999</v>
      </c>
      <c r="T56">
        <f t="shared" si="2"/>
        <v>0</v>
      </c>
    </row>
    <row r="57" spans="19:20" x14ac:dyDescent="0.25">
      <c r="S57">
        <f t="shared" si="3"/>
        <v>104.7999999999999</v>
      </c>
      <c r="T57">
        <f t="shared" si="2"/>
        <v>0</v>
      </c>
    </row>
    <row r="58" spans="19:20" x14ac:dyDescent="0.25">
      <c r="S58">
        <f t="shared" si="3"/>
        <v>106.39999999999989</v>
      </c>
      <c r="T58">
        <f t="shared" si="2"/>
        <v>0</v>
      </c>
    </row>
    <row r="59" spans="19:20" x14ac:dyDescent="0.25">
      <c r="S59">
        <f t="shared" si="3"/>
        <v>107.99999999999989</v>
      </c>
      <c r="T59">
        <f t="shared" si="2"/>
        <v>0</v>
      </c>
    </row>
    <row r="60" spans="19:20" x14ac:dyDescent="0.25">
      <c r="S60">
        <f t="shared" si="3"/>
        <v>109.59999999999988</v>
      </c>
      <c r="T60">
        <f t="shared" si="2"/>
        <v>0</v>
      </c>
    </row>
    <row r="61" spans="19:20" x14ac:dyDescent="0.25">
      <c r="S61">
        <f t="shared" si="3"/>
        <v>111.19999999999987</v>
      </c>
      <c r="T61">
        <f t="shared" si="2"/>
        <v>0</v>
      </c>
    </row>
    <row r="62" spans="19:20" x14ac:dyDescent="0.25">
      <c r="S62">
        <f t="shared" si="3"/>
        <v>112.79999999999987</v>
      </c>
      <c r="T62">
        <f t="shared" si="2"/>
        <v>0</v>
      </c>
    </row>
    <row r="63" spans="19:20" x14ac:dyDescent="0.25">
      <c r="S63">
        <f t="shared" si="3"/>
        <v>114.39999999999986</v>
      </c>
      <c r="T63">
        <f t="shared" si="2"/>
        <v>0</v>
      </c>
    </row>
    <row r="64" spans="19:20" x14ac:dyDescent="0.25">
      <c r="S64">
        <f t="shared" si="3"/>
        <v>115.99999999999986</v>
      </c>
      <c r="T64">
        <f t="shared" si="2"/>
        <v>0</v>
      </c>
    </row>
    <row r="65" spans="19:20" x14ac:dyDescent="0.25">
      <c r="S65">
        <f t="shared" si="3"/>
        <v>117.59999999999985</v>
      </c>
      <c r="T65">
        <f t="shared" si="2"/>
        <v>0</v>
      </c>
    </row>
    <row r="66" spans="19:20" x14ac:dyDescent="0.25">
      <c r="S66">
        <f t="shared" si="3"/>
        <v>119.19999999999985</v>
      </c>
      <c r="T66">
        <f t="shared" si="2"/>
        <v>0</v>
      </c>
    </row>
    <row r="67" spans="19:20" x14ac:dyDescent="0.25">
      <c r="S67">
        <f t="shared" si="3"/>
        <v>120.79999999999984</v>
      </c>
      <c r="T67">
        <f t="shared" si="2"/>
        <v>0</v>
      </c>
    </row>
    <row r="68" spans="19:20" x14ac:dyDescent="0.25">
      <c r="S68">
        <f t="shared" si="3"/>
        <v>122.39999999999984</v>
      </c>
      <c r="T68">
        <f t="shared" si="2"/>
        <v>0</v>
      </c>
    </row>
    <row r="69" spans="19:20" x14ac:dyDescent="0.25">
      <c r="S69">
        <f t="shared" si="3"/>
        <v>123.99999999999983</v>
      </c>
      <c r="T69">
        <f t="shared" ref="T69:T105" si="4">IF(S69&lt;=MIN($A$2:$A$12),1,IF(S69&gt;=MAX($A$2:$A$12),0,(1/$B$16)*(1-EXP($B$14*(MAX($A$2:$A$12)-S69)^$B$15))))</f>
        <v>0</v>
      </c>
    </row>
    <row r="70" spans="19:20" x14ac:dyDescent="0.25">
      <c r="S70">
        <f t="shared" ref="S70:S105" si="5">S69+(MAX($A$2:$A$12)-$S$4)/50</f>
        <v>125.59999999999982</v>
      </c>
      <c r="T70">
        <f t="shared" si="4"/>
        <v>0</v>
      </c>
    </row>
    <row r="71" spans="19:20" x14ac:dyDescent="0.25">
      <c r="S71">
        <f t="shared" si="5"/>
        <v>127.19999999999982</v>
      </c>
      <c r="T71">
        <f t="shared" si="4"/>
        <v>0</v>
      </c>
    </row>
    <row r="72" spans="19:20" x14ac:dyDescent="0.25">
      <c r="S72">
        <f t="shared" si="5"/>
        <v>128.79999999999981</v>
      </c>
      <c r="T72">
        <f t="shared" si="4"/>
        <v>0</v>
      </c>
    </row>
    <row r="73" spans="19:20" x14ac:dyDescent="0.25">
      <c r="S73">
        <f t="shared" si="5"/>
        <v>130.39999999999981</v>
      </c>
      <c r="T73">
        <f t="shared" si="4"/>
        <v>0</v>
      </c>
    </row>
    <row r="74" spans="19:20" x14ac:dyDescent="0.25">
      <c r="S74">
        <f t="shared" si="5"/>
        <v>131.9999999999998</v>
      </c>
      <c r="T74">
        <f t="shared" si="4"/>
        <v>0</v>
      </c>
    </row>
    <row r="75" spans="19:20" x14ac:dyDescent="0.25">
      <c r="S75">
        <f t="shared" si="5"/>
        <v>133.5999999999998</v>
      </c>
      <c r="T75">
        <f t="shared" si="4"/>
        <v>0</v>
      </c>
    </row>
    <row r="76" spans="19:20" x14ac:dyDescent="0.25">
      <c r="S76">
        <f t="shared" si="5"/>
        <v>135.19999999999979</v>
      </c>
      <c r="T76">
        <f t="shared" si="4"/>
        <v>0</v>
      </c>
    </row>
    <row r="77" spans="19:20" x14ac:dyDescent="0.25">
      <c r="S77">
        <f t="shared" si="5"/>
        <v>136.79999999999978</v>
      </c>
      <c r="T77">
        <f t="shared" si="4"/>
        <v>0</v>
      </c>
    </row>
    <row r="78" spans="19:20" x14ac:dyDescent="0.25">
      <c r="S78">
        <f t="shared" si="5"/>
        <v>138.39999999999978</v>
      </c>
      <c r="T78">
        <f t="shared" si="4"/>
        <v>0</v>
      </c>
    </row>
    <row r="79" spans="19:20" x14ac:dyDescent="0.25">
      <c r="S79">
        <f t="shared" si="5"/>
        <v>139.99999999999977</v>
      </c>
      <c r="T79">
        <f t="shared" si="4"/>
        <v>0</v>
      </c>
    </row>
    <row r="80" spans="19:20" x14ac:dyDescent="0.25">
      <c r="S80">
        <f t="shared" si="5"/>
        <v>141.59999999999977</v>
      </c>
      <c r="T80">
        <f t="shared" si="4"/>
        <v>0</v>
      </c>
    </row>
    <row r="81" spans="19:20" x14ac:dyDescent="0.25">
      <c r="S81">
        <f t="shared" si="5"/>
        <v>143.19999999999976</v>
      </c>
      <c r="T81">
        <f t="shared" si="4"/>
        <v>0</v>
      </c>
    </row>
    <row r="82" spans="19:20" x14ac:dyDescent="0.25">
      <c r="S82">
        <f t="shared" si="5"/>
        <v>144.79999999999976</v>
      </c>
      <c r="T82">
        <f t="shared" si="4"/>
        <v>0</v>
      </c>
    </row>
    <row r="83" spans="19:20" x14ac:dyDescent="0.25">
      <c r="S83">
        <f t="shared" si="5"/>
        <v>146.39999999999975</v>
      </c>
      <c r="T83">
        <f t="shared" si="4"/>
        <v>0</v>
      </c>
    </row>
    <row r="84" spans="19:20" x14ac:dyDescent="0.25">
      <c r="S84">
        <f t="shared" si="5"/>
        <v>147.99999999999974</v>
      </c>
      <c r="T84">
        <f t="shared" si="4"/>
        <v>0</v>
      </c>
    </row>
    <row r="85" spans="19:20" x14ac:dyDescent="0.25">
      <c r="S85">
        <f t="shared" si="5"/>
        <v>149.59999999999974</v>
      </c>
      <c r="T85">
        <f t="shared" si="4"/>
        <v>0</v>
      </c>
    </row>
    <row r="86" spans="19:20" x14ac:dyDescent="0.25">
      <c r="S86">
        <f t="shared" si="5"/>
        <v>151.19999999999973</v>
      </c>
      <c r="T86">
        <f t="shared" si="4"/>
        <v>0</v>
      </c>
    </row>
    <row r="87" spans="19:20" x14ac:dyDescent="0.25">
      <c r="S87">
        <f t="shared" si="5"/>
        <v>152.79999999999973</v>
      </c>
      <c r="T87">
        <f t="shared" si="4"/>
        <v>0</v>
      </c>
    </row>
    <row r="88" spans="19:20" x14ac:dyDescent="0.25">
      <c r="S88">
        <f t="shared" si="5"/>
        <v>154.39999999999972</v>
      </c>
      <c r="T88">
        <f t="shared" si="4"/>
        <v>0</v>
      </c>
    </row>
    <row r="89" spans="19:20" x14ac:dyDescent="0.25">
      <c r="S89">
        <f t="shared" si="5"/>
        <v>155.99999999999972</v>
      </c>
      <c r="T89">
        <f t="shared" si="4"/>
        <v>0</v>
      </c>
    </row>
    <row r="90" spans="19:20" x14ac:dyDescent="0.25">
      <c r="S90">
        <f t="shared" si="5"/>
        <v>157.59999999999971</v>
      </c>
      <c r="T90">
        <f t="shared" si="4"/>
        <v>0</v>
      </c>
    </row>
    <row r="91" spans="19:20" x14ac:dyDescent="0.25">
      <c r="S91">
        <f t="shared" si="5"/>
        <v>159.1999999999997</v>
      </c>
      <c r="T91">
        <f t="shared" si="4"/>
        <v>0</v>
      </c>
    </row>
    <row r="92" spans="19:20" x14ac:dyDescent="0.25">
      <c r="S92">
        <f t="shared" si="5"/>
        <v>160.7999999999997</v>
      </c>
      <c r="T92">
        <f t="shared" si="4"/>
        <v>0</v>
      </c>
    </row>
    <row r="93" spans="19:20" x14ac:dyDescent="0.25">
      <c r="S93">
        <f t="shared" si="5"/>
        <v>162.39999999999969</v>
      </c>
      <c r="T93">
        <f t="shared" si="4"/>
        <v>0</v>
      </c>
    </row>
    <row r="94" spans="19:20" x14ac:dyDescent="0.25">
      <c r="S94">
        <f t="shared" si="5"/>
        <v>163.99999999999969</v>
      </c>
      <c r="T94">
        <f t="shared" si="4"/>
        <v>0</v>
      </c>
    </row>
    <row r="95" spans="19:20" x14ac:dyDescent="0.25">
      <c r="S95">
        <f t="shared" si="5"/>
        <v>165.59999999999968</v>
      </c>
      <c r="T95">
        <f t="shared" si="4"/>
        <v>0</v>
      </c>
    </row>
    <row r="96" spans="19:20" x14ac:dyDescent="0.25">
      <c r="S96">
        <f t="shared" si="5"/>
        <v>167.19999999999968</v>
      </c>
      <c r="T96">
        <f t="shared" si="4"/>
        <v>0</v>
      </c>
    </row>
    <row r="97" spans="19:20" x14ac:dyDescent="0.25">
      <c r="S97">
        <f t="shared" si="5"/>
        <v>168.79999999999967</v>
      </c>
      <c r="T97">
        <f t="shared" si="4"/>
        <v>0</v>
      </c>
    </row>
    <row r="98" spans="19:20" x14ac:dyDescent="0.25">
      <c r="S98">
        <f t="shared" si="5"/>
        <v>170.39999999999966</v>
      </c>
      <c r="T98">
        <f t="shared" si="4"/>
        <v>0</v>
      </c>
    </row>
    <row r="99" spans="19:20" x14ac:dyDescent="0.25">
      <c r="S99">
        <f t="shared" si="5"/>
        <v>171.99999999999966</v>
      </c>
      <c r="T99">
        <f t="shared" si="4"/>
        <v>0</v>
      </c>
    </row>
    <row r="100" spans="19:20" x14ac:dyDescent="0.25">
      <c r="S100">
        <f t="shared" si="5"/>
        <v>173.59999999999965</v>
      </c>
      <c r="T100">
        <f t="shared" si="4"/>
        <v>0</v>
      </c>
    </row>
    <row r="101" spans="19:20" x14ac:dyDescent="0.25">
      <c r="S101">
        <f t="shared" si="5"/>
        <v>175.19999999999965</v>
      </c>
      <c r="T101">
        <f t="shared" si="4"/>
        <v>0</v>
      </c>
    </row>
    <row r="102" spans="19:20" x14ac:dyDescent="0.25">
      <c r="S102">
        <f t="shared" si="5"/>
        <v>176.79999999999964</v>
      </c>
      <c r="T102">
        <f t="shared" si="4"/>
        <v>0</v>
      </c>
    </row>
    <row r="103" spans="19:20" x14ac:dyDescent="0.25">
      <c r="S103">
        <f t="shared" si="5"/>
        <v>178.39999999999964</v>
      </c>
      <c r="T103">
        <f t="shared" si="4"/>
        <v>0</v>
      </c>
    </row>
    <row r="104" spans="19:20" x14ac:dyDescent="0.25">
      <c r="S104">
        <f t="shared" si="5"/>
        <v>179.99999999999963</v>
      </c>
      <c r="T104">
        <f t="shared" si="4"/>
        <v>0</v>
      </c>
    </row>
    <row r="105" spans="19:20" x14ac:dyDescent="0.25">
      <c r="S105">
        <f t="shared" si="5"/>
        <v>181.59999999999962</v>
      </c>
      <c r="T105">
        <f t="shared" si="4"/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B15" sqref="B15"/>
    </sheetView>
  </sheetViews>
  <sheetFormatPr defaultRowHeight="15" x14ac:dyDescent="0.25"/>
  <cols>
    <col min="1" max="1" width="14.7109375" bestFit="1" customWidth="1"/>
    <col min="2" max="2" width="14.5703125" customWidth="1"/>
    <col min="16" max="16" width="15.7109375" bestFit="1" customWidth="1"/>
    <col min="17" max="17" width="18.7109375" bestFit="1" customWidth="1"/>
  </cols>
  <sheetData>
    <row r="1" spans="1:20" x14ac:dyDescent="0.25">
      <c r="A1" s="7" t="s">
        <v>65</v>
      </c>
      <c r="B1" s="7" t="s">
        <v>66</v>
      </c>
      <c r="P1" t="s">
        <v>69</v>
      </c>
      <c r="Q1" t="s">
        <v>70</v>
      </c>
    </row>
    <row r="2" spans="1:20" x14ac:dyDescent="0.25">
      <c r="A2">
        <v>70</v>
      </c>
      <c r="B2">
        <v>0</v>
      </c>
      <c r="P2" s="5">
        <f>(1-EXP($B$14*(MAX($A$2:$A$12)-A2)^$B$15))/$B$16</f>
        <v>0</v>
      </c>
      <c r="Q2" s="5">
        <f>(P2-B2)^2</f>
        <v>0</v>
      </c>
    </row>
    <row r="3" spans="1:20" x14ac:dyDescent="0.25">
      <c r="A3">
        <v>45</v>
      </c>
      <c r="B3">
        <v>0.2</v>
      </c>
      <c r="P3" s="5">
        <f t="shared" ref="P3:P12" si="0">(1-EXP($B$14*(MAX($A$2:$A$12)-A3)^$B$15))/$B$16</f>
        <v>0.18601161183965703</v>
      </c>
      <c r="Q3" s="5">
        <f t="shared" ref="Q3:Q12" si="1">(P3-B3)^2</f>
        <v>1.9567500332442364E-4</v>
      </c>
      <c r="S3" t="s">
        <v>72</v>
      </c>
      <c r="T3" t="s">
        <v>73</v>
      </c>
    </row>
    <row r="4" spans="1:20" x14ac:dyDescent="0.25">
      <c r="A4">
        <v>30</v>
      </c>
      <c r="B4">
        <v>0.4</v>
      </c>
      <c r="P4" s="5">
        <f t="shared" si="0"/>
        <v>0.37508607409248873</v>
      </c>
      <c r="Q4" s="5">
        <f t="shared" si="1"/>
        <v>6.2070370412496234E-4</v>
      </c>
      <c r="S4">
        <f>MIN(A2:A12)</f>
        <v>3</v>
      </c>
      <c r="T4">
        <f>IF(S4&lt;=MIN($A$2:$A$12),1,IF(S4&gt;=MAX($A$2:$A$12),0,(1/$B$16)*(1-EXP($B$14*(MAX($A$2:$A$12)-S4)^$B$15))))</f>
        <v>1</v>
      </c>
    </row>
    <row r="5" spans="1:20" x14ac:dyDescent="0.25">
      <c r="A5">
        <v>24</v>
      </c>
      <c r="B5">
        <v>0.5</v>
      </c>
      <c r="P5" s="5">
        <f t="shared" si="0"/>
        <v>0.47624246825643973</v>
      </c>
      <c r="Q5" s="5">
        <f t="shared" si="1"/>
        <v>5.6442031454627373E-4</v>
      </c>
      <c r="S5">
        <f>S4+(MAX($A$2:$A$12)-$S$4)/50</f>
        <v>4.34</v>
      </c>
      <c r="T5">
        <f t="shared" ref="T5:T68" si="2">IF(S5&lt;=MIN($A$2:$A$12),1,IF(S5&gt;=MAX($A$2:$A$12),0,(1/$B$16)*(1-EXP($B$14*(MAX($A$2:$A$12)-S5)^$B$15))))</f>
        <v>0.95668012092850263</v>
      </c>
    </row>
    <row r="6" spans="1:20" x14ac:dyDescent="0.25">
      <c r="A6">
        <v>18</v>
      </c>
      <c r="B6">
        <v>0.6</v>
      </c>
      <c r="P6" s="5">
        <f t="shared" si="0"/>
        <v>0.59601286914127294</v>
      </c>
      <c r="Q6" s="5">
        <f t="shared" si="1"/>
        <v>1.5897212484613418E-5</v>
      </c>
      <c r="S6">
        <f t="shared" ref="S6:S69" si="3">S5+(MAX($A$2:$A$12)-$S$4)/50</f>
        <v>5.68</v>
      </c>
      <c r="T6">
        <f t="shared" si="2"/>
        <v>0.91493820043664553</v>
      </c>
    </row>
    <row r="7" spans="1:20" x14ac:dyDescent="0.25">
      <c r="A7">
        <v>12</v>
      </c>
      <c r="B7">
        <v>0.7</v>
      </c>
      <c r="P7" s="5">
        <f t="shared" si="0"/>
        <v>0.73770784081765584</v>
      </c>
      <c r="Q7" s="5">
        <f t="shared" si="1"/>
        <v>1.4218812591296748E-3</v>
      </c>
      <c r="S7">
        <f t="shared" si="3"/>
        <v>7.02</v>
      </c>
      <c r="T7">
        <f t="shared" si="2"/>
        <v>0.87471849955171699</v>
      </c>
    </row>
    <row r="8" spans="1:20" x14ac:dyDescent="0.25">
      <c r="A8">
        <v>8</v>
      </c>
      <c r="B8">
        <v>0.8</v>
      </c>
      <c r="P8" s="5">
        <f t="shared" si="0"/>
        <v>0.84623671264061362</v>
      </c>
      <c r="Q8" s="5">
        <f t="shared" si="1"/>
        <v>2.1378335958106751E-3</v>
      </c>
      <c r="S8">
        <f t="shared" si="3"/>
        <v>8.36</v>
      </c>
      <c r="T8">
        <f t="shared" si="2"/>
        <v>0.83596718682051463</v>
      </c>
    </row>
    <row r="9" spans="1:20" x14ac:dyDescent="0.25">
      <c r="A9">
        <v>7</v>
      </c>
      <c r="B9">
        <v>0.85</v>
      </c>
      <c r="P9" s="5">
        <f t="shared" si="0"/>
        <v>0.87530786745525802</v>
      </c>
      <c r="Q9" s="5">
        <f t="shared" si="1"/>
        <v>6.4048815513290894E-4</v>
      </c>
      <c r="S9">
        <f t="shared" si="3"/>
        <v>9.6999999999999993</v>
      </c>
      <c r="T9">
        <f t="shared" si="2"/>
        <v>0.79863227380404112</v>
      </c>
    </row>
    <row r="10" spans="1:20" x14ac:dyDescent="0.25">
      <c r="A10">
        <v>5</v>
      </c>
      <c r="B10">
        <v>0.9</v>
      </c>
      <c r="P10" s="5">
        <f t="shared" si="0"/>
        <v>0.93592697771993272</v>
      </c>
      <c r="Q10" s="5">
        <f t="shared" si="1"/>
        <v>1.2907477280885403E-3</v>
      </c>
      <c r="S10">
        <f t="shared" si="3"/>
        <v>11.04</v>
      </c>
      <c r="T10">
        <f t="shared" si="2"/>
        <v>0.76266355265457952</v>
      </c>
    </row>
    <row r="11" spans="1:20" x14ac:dyDescent="0.25">
      <c r="A11">
        <v>4</v>
      </c>
      <c r="B11">
        <v>0.95</v>
      </c>
      <c r="P11" s="5">
        <f t="shared" si="0"/>
        <v>0.9675200885759806</v>
      </c>
      <c r="Q11" s="5">
        <f t="shared" si="1"/>
        <v>3.0695350371020739E-4</v>
      </c>
      <c r="S11">
        <f t="shared" si="3"/>
        <v>12.379999999999999</v>
      </c>
      <c r="T11">
        <f t="shared" si="2"/>
        <v>0.72801253570212987</v>
      </c>
    </row>
    <row r="12" spans="1:20" x14ac:dyDescent="0.25">
      <c r="A12">
        <v>3</v>
      </c>
      <c r="B12">
        <v>1</v>
      </c>
      <c r="P12" s="5">
        <f t="shared" si="0"/>
        <v>1</v>
      </c>
      <c r="Q12" s="5">
        <f t="shared" si="1"/>
        <v>0</v>
      </c>
      <c r="S12">
        <f t="shared" si="3"/>
        <v>13.719999999999999</v>
      </c>
      <c r="T12">
        <f t="shared" si="2"/>
        <v>0.69463239697875112</v>
      </c>
    </row>
    <row r="13" spans="1:20" x14ac:dyDescent="0.25">
      <c r="S13">
        <f t="shared" si="3"/>
        <v>15.059999999999999</v>
      </c>
      <c r="T13">
        <f t="shared" si="2"/>
        <v>0.66247791561065816</v>
      </c>
    </row>
    <row r="14" spans="1:20" x14ac:dyDescent="0.25">
      <c r="A14" t="s">
        <v>67</v>
      </c>
      <c r="B14" s="6">
        <v>5.274953999535572E-2</v>
      </c>
      <c r="O14" t="s">
        <v>71</v>
      </c>
      <c r="Q14" s="5">
        <f>SUM(Q2:Q12)</f>
        <v>7.1946004763522795E-3</v>
      </c>
      <c r="S14">
        <f t="shared" si="3"/>
        <v>16.399999999999999</v>
      </c>
      <c r="T14">
        <f t="shared" si="2"/>
        <v>0.63150542100903706</v>
      </c>
    </row>
    <row r="15" spans="1:20" x14ac:dyDescent="0.25">
      <c r="A15" t="s">
        <v>74</v>
      </c>
      <c r="B15" s="5">
        <v>0.88847580433194895</v>
      </c>
      <c r="S15">
        <f t="shared" si="3"/>
        <v>17.739999999999998</v>
      </c>
      <c r="T15">
        <f t="shared" si="2"/>
        <v>0.60167273979144364</v>
      </c>
    </row>
    <row r="16" spans="1:20" x14ac:dyDescent="0.25">
      <c r="A16" t="s">
        <v>68</v>
      </c>
      <c r="B16" s="5">
        <f>1-EXP($B$14*(MAX($A$2:$A$12)-MIN($A$2:$A$12))^$B$15)</f>
        <v>-8.1273091587839517</v>
      </c>
      <c r="S16">
        <f t="shared" si="3"/>
        <v>19.079999999999998</v>
      </c>
      <c r="T16">
        <f t="shared" si="2"/>
        <v>0.57293914436620763</v>
      </c>
    </row>
    <row r="17" spans="19:20" x14ac:dyDescent="0.25">
      <c r="S17">
        <f t="shared" si="3"/>
        <v>20.419999999999998</v>
      </c>
      <c r="T17">
        <f t="shared" si="2"/>
        <v>0.54526530311254973</v>
      </c>
    </row>
    <row r="18" spans="19:20" x14ac:dyDescent="0.25">
      <c r="S18">
        <f t="shared" si="3"/>
        <v>21.759999999999998</v>
      </c>
      <c r="T18">
        <f t="shared" si="2"/>
        <v>0.51861323208899213</v>
      </c>
    </row>
    <row r="19" spans="19:20" x14ac:dyDescent="0.25">
      <c r="S19">
        <f t="shared" si="3"/>
        <v>23.099999999999998</v>
      </c>
      <c r="T19">
        <f t="shared" si="2"/>
        <v>0.49294624820205374</v>
      </c>
    </row>
    <row r="20" spans="19:20" x14ac:dyDescent="0.25">
      <c r="S20">
        <f t="shared" si="3"/>
        <v>24.439999999999998</v>
      </c>
      <c r="T20">
        <f t="shared" si="2"/>
        <v>0.46822892376607617</v>
      </c>
    </row>
    <row r="21" spans="19:20" x14ac:dyDescent="0.25">
      <c r="S21">
        <f t="shared" si="3"/>
        <v>25.779999999999998</v>
      </c>
      <c r="T21">
        <f t="shared" si="2"/>
        <v>0.44442704238319336</v>
      </c>
    </row>
    <row r="22" spans="19:20" x14ac:dyDescent="0.25">
      <c r="S22">
        <f t="shared" si="3"/>
        <v>27.119999999999997</v>
      </c>
      <c r="T22">
        <f t="shared" si="2"/>
        <v>0.42150755606977752</v>
      </c>
    </row>
    <row r="23" spans="19:20" x14ac:dyDescent="0.25">
      <c r="S23">
        <f t="shared" si="3"/>
        <v>28.459999999999997</v>
      </c>
      <c r="T23">
        <f t="shared" si="2"/>
        <v>0.39943854355196251</v>
      </c>
    </row>
    <row r="24" spans="19:20" x14ac:dyDescent="0.25">
      <c r="S24">
        <f t="shared" si="3"/>
        <v>29.799999999999997</v>
      </c>
      <c r="T24">
        <f t="shared" si="2"/>
        <v>0.37818916964777777</v>
      </c>
    </row>
    <row r="25" spans="19:20" x14ac:dyDescent="0.25">
      <c r="S25">
        <f t="shared" si="3"/>
        <v>31.139999999999997</v>
      </c>
      <c r="T25">
        <f t="shared" si="2"/>
        <v>0.35772964564666138</v>
      </c>
    </row>
    <row r="26" spans="19:20" x14ac:dyDescent="0.25">
      <c r="S26">
        <f t="shared" si="3"/>
        <v>32.479999999999997</v>
      </c>
      <c r="T26">
        <f t="shared" si="2"/>
        <v>0.33803119058820058</v>
      </c>
    </row>
    <row r="27" spans="19:20" x14ac:dyDescent="0.25">
      <c r="S27">
        <f t="shared" si="3"/>
        <v>33.82</v>
      </c>
      <c r="T27">
        <f t="shared" si="2"/>
        <v>0.31906599333018143</v>
      </c>
    </row>
    <row r="28" spans="19:20" x14ac:dyDescent="0.25">
      <c r="S28">
        <f t="shared" si="3"/>
        <v>35.160000000000004</v>
      </c>
      <c r="T28">
        <f t="shared" si="2"/>
        <v>0.30080717528061868</v>
      </c>
    </row>
    <row r="29" spans="19:20" x14ac:dyDescent="0.25">
      <c r="S29">
        <f t="shared" si="3"/>
        <v>36.500000000000007</v>
      </c>
      <c r="T29">
        <f t="shared" si="2"/>
        <v>0.28322875364810018</v>
      </c>
    </row>
    <row r="30" spans="19:20" x14ac:dyDescent="0.25">
      <c r="S30">
        <f t="shared" si="3"/>
        <v>37.840000000000011</v>
      </c>
      <c r="T30">
        <f t="shared" si="2"/>
        <v>0.26630560503798228</v>
      </c>
    </row>
    <row r="31" spans="19:20" x14ac:dyDescent="0.25">
      <c r="S31">
        <f t="shared" si="3"/>
        <v>39.180000000000014</v>
      </c>
      <c r="T31">
        <f t="shared" si="2"/>
        <v>0.25001342918634534</v>
      </c>
    </row>
    <row r="32" spans="19:20" x14ac:dyDescent="0.25">
      <c r="S32">
        <f t="shared" si="3"/>
        <v>40.520000000000017</v>
      </c>
      <c r="T32">
        <f t="shared" si="2"/>
        <v>0.23432871257600224</v>
      </c>
    </row>
    <row r="33" spans="19:20" x14ac:dyDescent="0.25">
      <c r="S33">
        <f t="shared" si="3"/>
        <v>41.860000000000021</v>
      </c>
      <c r="T33">
        <f t="shared" si="2"/>
        <v>0.2192286916146006</v>
      </c>
    </row>
    <row r="34" spans="19:20" x14ac:dyDescent="0.25">
      <c r="S34">
        <f t="shared" si="3"/>
        <v>43.200000000000024</v>
      </c>
      <c r="T34">
        <f t="shared" si="2"/>
        <v>0.20469131496731932</v>
      </c>
    </row>
    <row r="35" spans="19:20" x14ac:dyDescent="0.25">
      <c r="S35">
        <f t="shared" si="3"/>
        <v>44.540000000000028</v>
      </c>
      <c r="T35">
        <f t="shared" si="2"/>
        <v>0.19069520451599564</v>
      </c>
    </row>
    <row r="36" spans="19:20" x14ac:dyDescent="0.25">
      <c r="S36">
        <f t="shared" si="3"/>
        <v>45.880000000000031</v>
      </c>
      <c r="T36">
        <f t="shared" si="2"/>
        <v>0.17721961424800878</v>
      </c>
    </row>
    <row r="37" spans="19:20" x14ac:dyDescent="0.25">
      <c r="S37">
        <f t="shared" si="3"/>
        <v>47.220000000000034</v>
      </c>
      <c r="T37">
        <f t="shared" si="2"/>
        <v>0.16424438613946163</v>
      </c>
    </row>
    <row r="38" spans="19:20" x14ac:dyDescent="0.25">
      <c r="S38">
        <f t="shared" si="3"/>
        <v>48.560000000000038</v>
      </c>
      <c r="T38">
        <f t="shared" si="2"/>
        <v>0.1517499017532562</v>
      </c>
    </row>
    <row r="39" spans="19:20" x14ac:dyDescent="0.25">
      <c r="S39">
        <f t="shared" si="3"/>
        <v>49.900000000000041</v>
      </c>
      <c r="T39">
        <f t="shared" si="2"/>
        <v>0.13971702776807346</v>
      </c>
    </row>
    <row r="40" spans="19:20" x14ac:dyDescent="0.25">
      <c r="S40">
        <f t="shared" si="3"/>
        <v>51.240000000000045</v>
      </c>
      <c r="T40">
        <f t="shared" si="2"/>
        <v>0.12812705289866863</v>
      </c>
    </row>
    <row r="41" spans="19:20" x14ac:dyDescent="0.25">
      <c r="S41">
        <f t="shared" si="3"/>
        <v>52.580000000000048</v>
      </c>
      <c r="T41">
        <f t="shared" si="2"/>
        <v>0.11696161250992748</v>
      </c>
    </row>
    <row r="42" spans="19:20" x14ac:dyDescent="0.25">
      <c r="S42">
        <f t="shared" si="3"/>
        <v>53.920000000000051</v>
      </c>
      <c r="T42">
        <f t="shared" si="2"/>
        <v>0.10620259540549719</v>
      </c>
    </row>
    <row r="43" spans="19:20" x14ac:dyDescent="0.25">
      <c r="S43">
        <f t="shared" si="3"/>
        <v>55.260000000000055</v>
      </c>
      <c r="T43">
        <f t="shared" si="2"/>
        <v>9.5832024319305611E-2</v>
      </c>
    </row>
    <row r="44" spans="19:20" x14ac:dyDescent="0.25">
      <c r="S44">
        <f t="shared" si="3"/>
        <v>56.600000000000058</v>
      </c>
      <c r="T44">
        <f t="shared" si="2"/>
        <v>8.5831896685815048E-2</v>
      </c>
    </row>
    <row r="45" spans="19:20" x14ac:dyDescent="0.25">
      <c r="S45">
        <f t="shared" si="3"/>
        <v>57.940000000000062</v>
      </c>
      <c r="T45">
        <f t="shared" si="2"/>
        <v>7.6183963619488648E-2</v>
      </c>
    </row>
    <row r="46" spans="19:20" x14ac:dyDescent="0.25">
      <c r="S46">
        <f t="shared" si="3"/>
        <v>59.280000000000065</v>
      </c>
      <c r="T46">
        <f t="shared" si="2"/>
        <v>6.6869409215856906E-2</v>
      </c>
    </row>
    <row r="47" spans="19:20" x14ac:dyDescent="0.25">
      <c r="S47">
        <f t="shared" si="3"/>
        <v>60.620000000000068</v>
      </c>
      <c r="T47">
        <f t="shared" si="2"/>
        <v>5.7868361670353037E-2</v>
      </c>
    </row>
    <row r="48" spans="19:20" x14ac:dyDescent="0.25">
      <c r="S48">
        <f t="shared" si="3"/>
        <v>61.960000000000072</v>
      </c>
      <c r="T48">
        <f t="shared" si="2"/>
        <v>4.9159104239892962E-2</v>
      </c>
    </row>
    <row r="49" spans="19:20" x14ac:dyDescent="0.25">
      <c r="S49">
        <f t="shared" si="3"/>
        <v>63.300000000000075</v>
      </c>
      <c r="T49">
        <f t="shared" si="2"/>
        <v>4.0716710661988398E-2</v>
      </c>
    </row>
    <row r="50" spans="19:20" x14ac:dyDescent="0.25">
      <c r="S50">
        <f t="shared" si="3"/>
        <v>64.640000000000072</v>
      </c>
      <c r="T50">
        <f t="shared" si="2"/>
        <v>3.2510467331390465E-2</v>
      </c>
    </row>
    <row r="51" spans="19:20" x14ac:dyDescent="0.25">
      <c r="S51">
        <f t="shared" si="3"/>
        <v>65.980000000000075</v>
      </c>
      <c r="T51">
        <f t="shared" si="2"/>
        <v>2.4498378527136624E-2</v>
      </c>
    </row>
    <row r="52" spans="19:20" x14ac:dyDescent="0.25">
      <c r="S52">
        <f t="shared" si="3"/>
        <v>67.320000000000078</v>
      </c>
      <c r="T52">
        <f t="shared" si="2"/>
        <v>1.6613122827032773E-2</v>
      </c>
    </row>
    <row r="53" spans="19:20" x14ac:dyDescent="0.25">
      <c r="S53">
        <f t="shared" si="3"/>
        <v>68.660000000000082</v>
      </c>
      <c r="T53">
        <f t="shared" si="2"/>
        <v>8.7124871408751515E-3</v>
      </c>
    </row>
    <row r="54" spans="19:20" x14ac:dyDescent="0.25">
      <c r="S54">
        <f t="shared" si="3"/>
        <v>70.000000000000085</v>
      </c>
      <c r="T54">
        <f t="shared" si="2"/>
        <v>0</v>
      </c>
    </row>
    <row r="55" spans="19:20" x14ac:dyDescent="0.25">
      <c r="S55">
        <f t="shared" si="3"/>
        <v>71.340000000000089</v>
      </c>
      <c r="T55">
        <f t="shared" si="2"/>
        <v>0</v>
      </c>
    </row>
    <row r="56" spans="19:20" x14ac:dyDescent="0.25">
      <c r="S56">
        <f t="shared" si="3"/>
        <v>72.680000000000092</v>
      </c>
      <c r="T56">
        <f t="shared" si="2"/>
        <v>0</v>
      </c>
    </row>
    <row r="57" spans="19:20" x14ac:dyDescent="0.25">
      <c r="S57">
        <f t="shared" si="3"/>
        <v>74.020000000000095</v>
      </c>
      <c r="T57">
        <f t="shared" si="2"/>
        <v>0</v>
      </c>
    </row>
    <row r="58" spans="19:20" x14ac:dyDescent="0.25">
      <c r="S58">
        <f t="shared" si="3"/>
        <v>75.360000000000099</v>
      </c>
      <c r="T58">
        <f t="shared" si="2"/>
        <v>0</v>
      </c>
    </row>
    <row r="59" spans="19:20" x14ac:dyDescent="0.25">
      <c r="S59">
        <f t="shared" si="3"/>
        <v>76.700000000000102</v>
      </c>
      <c r="T59">
        <f t="shared" si="2"/>
        <v>0</v>
      </c>
    </row>
    <row r="60" spans="19:20" x14ac:dyDescent="0.25">
      <c r="S60">
        <f t="shared" si="3"/>
        <v>78.040000000000106</v>
      </c>
      <c r="T60">
        <f t="shared" si="2"/>
        <v>0</v>
      </c>
    </row>
    <row r="61" spans="19:20" x14ac:dyDescent="0.25">
      <c r="S61">
        <f t="shared" si="3"/>
        <v>79.380000000000109</v>
      </c>
      <c r="T61">
        <f t="shared" si="2"/>
        <v>0</v>
      </c>
    </row>
    <row r="62" spans="19:20" x14ac:dyDescent="0.25">
      <c r="S62">
        <f t="shared" si="3"/>
        <v>80.720000000000113</v>
      </c>
      <c r="T62">
        <f t="shared" si="2"/>
        <v>0</v>
      </c>
    </row>
    <row r="63" spans="19:20" x14ac:dyDescent="0.25">
      <c r="S63">
        <f t="shared" si="3"/>
        <v>82.060000000000116</v>
      </c>
      <c r="T63">
        <f t="shared" si="2"/>
        <v>0</v>
      </c>
    </row>
    <row r="64" spans="19:20" x14ac:dyDescent="0.25">
      <c r="S64">
        <f t="shared" si="3"/>
        <v>83.400000000000119</v>
      </c>
      <c r="T64">
        <f t="shared" si="2"/>
        <v>0</v>
      </c>
    </row>
    <row r="65" spans="19:20" x14ac:dyDescent="0.25">
      <c r="S65">
        <f t="shared" si="3"/>
        <v>84.740000000000123</v>
      </c>
      <c r="T65">
        <f t="shared" si="2"/>
        <v>0</v>
      </c>
    </row>
    <row r="66" spans="19:20" x14ac:dyDescent="0.25">
      <c r="S66">
        <f t="shared" si="3"/>
        <v>86.080000000000126</v>
      </c>
      <c r="T66">
        <f t="shared" si="2"/>
        <v>0</v>
      </c>
    </row>
    <row r="67" spans="19:20" x14ac:dyDescent="0.25">
      <c r="S67">
        <f t="shared" si="3"/>
        <v>87.42000000000013</v>
      </c>
      <c r="T67">
        <f t="shared" si="2"/>
        <v>0</v>
      </c>
    </row>
    <row r="68" spans="19:20" x14ac:dyDescent="0.25">
      <c r="S68">
        <f t="shared" si="3"/>
        <v>88.760000000000133</v>
      </c>
      <c r="T68">
        <f t="shared" si="2"/>
        <v>0</v>
      </c>
    </row>
    <row r="69" spans="19:20" x14ac:dyDescent="0.25">
      <c r="S69">
        <f t="shared" si="3"/>
        <v>90.100000000000136</v>
      </c>
      <c r="T69">
        <f t="shared" ref="T69:T105" si="4">IF(S69&lt;=MIN($A$2:$A$12),1,IF(S69&gt;=MAX($A$2:$A$12),0,(1/$B$16)*(1-EXP($B$14*(MAX($A$2:$A$12)-S69)^$B$15))))</f>
        <v>0</v>
      </c>
    </row>
    <row r="70" spans="19:20" x14ac:dyDescent="0.25">
      <c r="S70">
        <f t="shared" ref="S70:S105" si="5">S69+(MAX($A$2:$A$12)-$S$4)/50</f>
        <v>91.44000000000014</v>
      </c>
      <c r="T70">
        <f t="shared" si="4"/>
        <v>0</v>
      </c>
    </row>
    <row r="71" spans="19:20" x14ac:dyDescent="0.25">
      <c r="S71">
        <f t="shared" si="5"/>
        <v>92.780000000000143</v>
      </c>
      <c r="T71">
        <f t="shared" si="4"/>
        <v>0</v>
      </c>
    </row>
    <row r="72" spans="19:20" x14ac:dyDescent="0.25">
      <c r="S72">
        <f t="shared" si="5"/>
        <v>94.120000000000147</v>
      </c>
      <c r="T72">
        <f t="shared" si="4"/>
        <v>0</v>
      </c>
    </row>
    <row r="73" spans="19:20" x14ac:dyDescent="0.25">
      <c r="S73">
        <f t="shared" si="5"/>
        <v>95.46000000000015</v>
      </c>
      <c r="T73">
        <f t="shared" si="4"/>
        <v>0</v>
      </c>
    </row>
    <row r="74" spans="19:20" x14ac:dyDescent="0.25">
      <c r="S74">
        <f t="shared" si="5"/>
        <v>96.800000000000153</v>
      </c>
      <c r="T74">
        <f t="shared" si="4"/>
        <v>0</v>
      </c>
    </row>
    <row r="75" spans="19:20" x14ac:dyDescent="0.25">
      <c r="S75">
        <f t="shared" si="5"/>
        <v>98.140000000000157</v>
      </c>
      <c r="T75">
        <f t="shared" si="4"/>
        <v>0</v>
      </c>
    </row>
    <row r="76" spans="19:20" x14ac:dyDescent="0.25">
      <c r="S76">
        <f t="shared" si="5"/>
        <v>99.48000000000016</v>
      </c>
      <c r="T76">
        <f t="shared" si="4"/>
        <v>0</v>
      </c>
    </row>
    <row r="77" spans="19:20" x14ac:dyDescent="0.25">
      <c r="S77">
        <f t="shared" si="5"/>
        <v>100.82000000000016</v>
      </c>
      <c r="T77">
        <f t="shared" si="4"/>
        <v>0</v>
      </c>
    </row>
    <row r="78" spans="19:20" x14ac:dyDescent="0.25">
      <c r="S78">
        <f t="shared" si="5"/>
        <v>102.16000000000017</v>
      </c>
      <c r="T78">
        <f t="shared" si="4"/>
        <v>0</v>
      </c>
    </row>
    <row r="79" spans="19:20" x14ac:dyDescent="0.25">
      <c r="S79">
        <f t="shared" si="5"/>
        <v>103.50000000000017</v>
      </c>
      <c r="T79">
        <f t="shared" si="4"/>
        <v>0</v>
      </c>
    </row>
    <row r="80" spans="19:20" x14ac:dyDescent="0.25">
      <c r="S80">
        <f t="shared" si="5"/>
        <v>104.84000000000017</v>
      </c>
      <c r="T80">
        <f t="shared" si="4"/>
        <v>0</v>
      </c>
    </row>
    <row r="81" spans="19:20" x14ac:dyDescent="0.25">
      <c r="S81">
        <f t="shared" si="5"/>
        <v>106.18000000000018</v>
      </c>
      <c r="T81">
        <f t="shared" si="4"/>
        <v>0</v>
      </c>
    </row>
    <row r="82" spans="19:20" x14ac:dyDescent="0.25">
      <c r="S82">
        <f t="shared" si="5"/>
        <v>107.52000000000018</v>
      </c>
      <c r="T82">
        <f t="shared" si="4"/>
        <v>0</v>
      </c>
    </row>
    <row r="83" spans="19:20" x14ac:dyDescent="0.25">
      <c r="S83">
        <f t="shared" si="5"/>
        <v>108.86000000000018</v>
      </c>
      <c r="T83">
        <f t="shared" si="4"/>
        <v>0</v>
      </c>
    </row>
    <row r="84" spans="19:20" x14ac:dyDescent="0.25">
      <c r="S84">
        <f t="shared" si="5"/>
        <v>110.20000000000019</v>
      </c>
      <c r="T84">
        <f t="shared" si="4"/>
        <v>0</v>
      </c>
    </row>
    <row r="85" spans="19:20" x14ac:dyDescent="0.25">
      <c r="S85">
        <f t="shared" si="5"/>
        <v>111.54000000000019</v>
      </c>
      <c r="T85">
        <f t="shared" si="4"/>
        <v>0</v>
      </c>
    </row>
    <row r="86" spans="19:20" x14ac:dyDescent="0.25">
      <c r="S86">
        <f t="shared" si="5"/>
        <v>112.88000000000019</v>
      </c>
      <c r="T86">
        <f t="shared" si="4"/>
        <v>0</v>
      </c>
    </row>
    <row r="87" spans="19:20" x14ac:dyDescent="0.25">
      <c r="S87">
        <f t="shared" si="5"/>
        <v>114.2200000000002</v>
      </c>
      <c r="T87">
        <f t="shared" si="4"/>
        <v>0</v>
      </c>
    </row>
    <row r="88" spans="19:20" x14ac:dyDescent="0.25">
      <c r="S88">
        <f t="shared" si="5"/>
        <v>115.5600000000002</v>
      </c>
      <c r="T88">
        <f t="shared" si="4"/>
        <v>0</v>
      </c>
    </row>
    <row r="89" spans="19:20" x14ac:dyDescent="0.25">
      <c r="S89">
        <f t="shared" si="5"/>
        <v>116.9000000000002</v>
      </c>
      <c r="T89">
        <f t="shared" si="4"/>
        <v>0</v>
      </c>
    </row>
    <row r="90" spans="19:20" x14ac:dyDescent="0.25">
      <c r="S90">
        <f t="shared" si="5"/>
        <v>118.24000000000021</v>
      </c>
      <c r="T90">
        <f t="shared" si="4"/>
        <v>0</v>
      </c>
    </row>
    <row r="91" spans="19:20" x14ac:dyDescent="0.25">
      <c r="S91">
        <f t="shared" si="5"/>
        <v>119.58000000000021</v>
      </c>
      <c r="T91">
        <f t="shared" si="4"/>
        <v>0</v>
      </c>
    </row>
    <row r="92" spans="19:20" x14ac:dyDescent="0.25">
      <c r="S92">
        <f t="shared" si="5"/>
        <v>120.92000000000021</v>
      </c>
      <c r="T92">
        <f t="shared" si="4"/>
        <v>0</v>
      </c>
    </row>
    <row r="93" spans="19:20" x14ac:dyDescent="0.25">
      <c r="S93">
        <f t="shared" si="5"/>
        <v>122.26000000000022</v>
      </c>
      <c r="T93">
        <f t="shared" si="4"/>
        <v>0</v>
      </c>
    </row>
    <row r="94" spans="19:20" x14ac:dyDescent="0.25">
      <c r="S94">
        <f t="shared" si="5"/>
        <v>123.60000000000022</v>
      </c>
      <c r="T94">
        <f t="shared" si="4"/>
        <v>0</v>
      </c>
    </row>
    <row r="95" spans="19:20" x14ac:dyDescent="0.25">
      <c r="S95">
        <f t="shared" si="5"/>
        <v>124.94000000000023</v>
      </c>
      <c r="T95">
        <f t="shared" si="4"/>
        <v>0</v>
      </c>
    </row>
    <row r="96" spans="19:20" x14ac:dyDescent="0.25">
      <c r="S96">
        <f t="shared" si="5"/>
        <v>126.28000000000023</v>
      </c>
      <c r="T96">
        <f t="shared" si="4"/>
        <v>0</v>
      </c>
    </row>
    <row r="97" spans="19:20" x14ac:dyDescent="0.25">
      <c r="S97">
        <f t="shared" si="5"/>
        <v>127.62000000000023</v>
      </c>
      <c r="T97">
        <f t="shared" si="4"/>
        <v>0</v>
      </c>
    </row>
    <row r="98" spans="19:20" x14ac:dyDescent="0.25">
      <c r="S98">
        <f t="shared" si="5"/>
        <v>128.96000000000024</v>
      </c>
      <c r="T98">
        <f t="shared" si="4"/>
        <v>0</v>
      </c>
    </row>
    <row r="99" spans="19:20" x14ac:dyDescent="0.25">
      <c r="S99">
        <f t="shared" si="5"/>
        <v>130.30000000000024</v>
      </c>
      <c r="T99">
        <f t="shared" si="4"/>
        <v>0</v>
      </c>
    </row>
    <row r="100" spans="19:20" x14ac:dyDescent="0.25">
      <c r="S100">
        <f t="shared" si="5"/>
        <v>131.64000000000024</v>
      </c>
      <c r="T100">
        <f t="shared" si="4"/>
        <v>0</v>
      </c>
    </row>
    <row r="101" spans="19:20" x14ac:dyDescent="0.25">
      <c r="S101">
        <f t="shared" si="5"/>
        <v>132.98000000000025</v>
      </c>
      <c r="T101">
        <f t="shared" si="4"/>
        <v>0</v>
      </c>
    </row>
    <row r="102" spans="19:20" x14ac:dyDescent="0.25">
      <c r="S102">
        <f t="shared" si="5"/>
        <v>134.32000000000025</v>
      </c>
      <c r="T102">
        <f t="shared" si="4"/>
        <v>0</v>
      </c>
    </row>
    <row r="103" spans="19:20" x14ac:dyDescent="0.25">
      <c r="S103">
        <f t="shared" si="5"/>
        <v>135.66000000000025</v>
      </c>
      <c r="T103">
        <f t="shared" si="4"/>
        <v>0</v>
      </c>
    </row>
    <row r="104" spans="19:20" x14ac:dyDescent="0.25">
      <c r="S104">
        <f t="shared" si="5"/>
        <v>137.00000000000026</v>
      </c>
      <c r="T104">
        <f t="shared" si="4"/>
        <v>0</v>
      </c>
    </row>
    <row r="105" spans="19:20" x14ac:dyDescent="0.25">
      <c r="S105">
        <f t="shared" si="5"/>
        <v>138.34000000000026</v>
      </c>
      <c r="T105">
        <f t="shared" si="4"/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A13" sqref="A13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7" t="s">
        <v>75</v>
      </c>
      <c r="B1" s="7" t="s">
        <v>66</v>
      </c>
      <c r="P1" t="s">
        <v>69</v>
      </c>
      <c r="Q1" t="s">
        <v>70</v>
      </c>
    </row>
    <row r="2" spans="1:20" x14ac:dyDescent="0.25">
      <c r="A2">
        <v>-2</v>
      </c>
      <c r="B2">
        <v>0</v>
      </c>
      <c r="P2" s="5">
        <f>(1-EXP($B$14*(A2-MIN($A$2:$A$12))^$B$15))/$B$16</f>
        <v>0</v>
      </c>
      <c r="Q2" s="5">
        <f>(P2-B2)^2</f>
        <v>0</v>
      </c>
    </row>
    <row r="3" spans="1:20" x14ac:dyDescent="0.25">
      <c r="A3">
        <f>A$2+B3*($A$12-$A$2)</f>
        <v>-0.59999999999999987</v>
      </c>
      <c r="B3">
        <v>0.2</v>
      </c>
      <c r="P3" s="5">
        <f t="shared" ref="P3:P12" si="0">(1-EXP($B$14*(A3-MIN($A$2:$A$12))^$B$15))/$B$16</f>
        <v>0.20000000602692519</v>
      </c>
      <c r="Q3" s="5">
        <f t="shared" ref="Q3:Q12" si="1">(P3-B3)^2</f>
        <v>3.6323827139134462E-17</v>
      </c>
      <c r="S3" t="s">
        <v>72</v>
      </c>
      <c r="T3" t="s">
        <v>73</v>
      </c>
    </row>
    <row r="4" spans="1:20" x14ac:dyDescent="0.25">
      <c r="A4">
        <f t="shared" ref="A4:A11" si="2">A$2+B4*($A$12-$A$2)</f>
        <v>0.80000000000000027</v>
      </c>
      <c r="B4">
        <v>0.4</v>
      </c>
      <c r="P4" s="5">
        <f t="shared" si="0"/>
        <v>0.4000000088817845</v>
      </c>
      <c r="Q4" s="5">
        <f t="shared" si="1"/>
        <v>7.8886095452481912E-17</v>
      </c>
      <c r="S4">
        <f>MIN(A2:A12)</f>
        <v>-2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1.5</v>
      </c>
      <c r="B5">
        <v>0.5</v>
      </c>
      <c r="P5" s="5">
        <f t="shared" si="0"/>
        <v>0.50000000793016475</v>
      </c>
      <c r="Q5" s="5">
        <f t="shared" si="1"/>
        <v>6.2887512916055326E-17</v>
      </c>
      <c r="S5">
        <f>S4+(MAX($A$2:$A$12)-$S$4)/50</f>
        <v>-1.8599999999999999</v>
      </c>
      <c r="T5">
        <f t="shared" ref="T5:T68" si="3">IF(S5&lt;=MIN($A$2:$A$12),0,IF(S5&gt;=MAX($A$2:$A$12),1,(1/$B$16)*(1-EXP($B$14*(S5-MIN($A$2:$A$12))^$B$15))))</f>
        <v>2.0000000761295815E-2</v>
      </c>
    </row>
    <row r="6" spans="1:20" x14ac:dyDescent="0.25">
      <c r="A6">
        <f t="shared" si="2"/>
        <v>2.2000000000000002</v>
      </c>
      <c r="B6">
        <v>0.6</v>
      </c>
      <c r="P6" s="5">
        <f t="shared" si="0"/>
        <v>0.60000000856457791</v>
      </c>
      <c r="Q6" s="5">
        <f t="shared" si="1"/>
        <v>7.3351995217424398E-17</v>
      </c>
      <c r="S6">
        <f t="shared" ref="S6:S69" si="4">S5+(MAX($A$2:$A$12)-$S$4)/50</f>
        <v>-1.7199999999999998</v>
      </c>
      <c r="T6">
        <f t="shared" si="3"/>
        <v>4.000000152259163E-2</v>
      </c>
    </row>
    <row r="7" spans="1:20" x14ac:dyDescent="0.25">
      <c r="A7">
        <f t="shared" si="2"/>
        <v>2.8999999999999995</v>
      </c>
      <c r="B7">
        <v>0.7</v>
      </c>
      <c r="P7" s="5">
        <f t="shared" si="0"/>
        <v>0.70000000761295811</v>
      </c>
      <c r="Q7" s="5">
        <f t="shared" si="1"/>
        <v>5.7957131835819937E-17</v>
      </c>
      <c r="S7">
        <f t="shared" si="4"/>
        <v>-1.5799999999999996</v>
      </c>
      <c r="T7">
        <f t="shared" si="3"/>
        <v>6.0000002283887445E-2</v>
      </c>
    </row>
    <row r="8" spans="1:20" x14ac:dyDescent="0.25">
      <c r="A8">
        <f t="shared" si="2"/>
        <v>3.6000000000000005</v>
      </c>
      <c r="B8">
        <v>0.8</v>
      </c>
      <c r="P8" s="5">
        <f t="shared" si="0"/>
        <v>0.80000000507530544</v>
      </c>
      <c r="Q8" s="5">
        <f t="shared" si="1"/>
        <v>2.5758724884716354E-17</v>
      </c>
      <c r="S8">
        <f t="shared" si="4"/>
        <v>-1.4399999999999995</v>
      </c>
      <c r="T8">
        <f t="shared" si="3"/>
        <v>8.000000304518326E-2</v>
      </c>
    </row>
    <row r="9" spans="1:20" x14ac:dyDescent="0.25">
      <c r="A9">
        <f t="shared" si="2"/>
        <v>3.95</v>
      </c>
      <c r="B9">
        <v>0.85</v>
      </c>
      <c r="P9" s="5">
        <f t="shared" si="0"/>
        <v>0.85000000459949554</v>
      </c>
      <c r="Q9" s="5">
        <f t="shared" si="1"/>
        <v>2.1155359426664465E-17</v>
      </c>
      <c r="S9">
        <f t="shared" si="4"/>
        <v>-1.2999999999999994</v>
      </c>
      <c r="T9">
        <f t="shared" si="3"/>
        <v>0.10000000380647907</v>
      </c>
    </row>
    <row r="10" spans="1:20" x14ac:dyDescent="0.25">
      <c r="A10">
        <f t="shared" si="2"/>
        <v>4.3</v>
      </c>
      <c r="B10">
        <v>0.9</v>
      </c>
      <c r="P10" s="5">
        <f t="shared" si="0"/>
        <v>0.90000000253765267</v>
      </c>
      <c r="Q10" s="5">
        <f t="shared" si="1"/>
        <v>6.4396809394430461E-18</v>
      </c>
      <c r="S10">
        <f t="shared" si="4"/>
        <v>-1.1599999999999993</v>
      </c>
      <c r="T10">
        <f t="shared" si="3"/>
        <v>0.12000000298174193</v>
      </c>
    </row>
    <row r="11" spans="1:20" x14ac:dyDescent="0.25">
      <c r="A11">
        <f t="shared" si="2"/>
        <v>4.6499999999999995</v>
      </c>
      <c r="B11">
        <v>0.95</v>
      </c>
      <c r="P11" s="5">
        <f t="shared" si="0"/>
        <v>0.95000000206184287</v>
      </c>
      <c r="Q11" s="5">
        <f t="shared" si="1"/>
        <v>4.2511962210693661E-18</v>
      </c>
      <c r="S11">
        <f t="shared" si="4"/>
        <v>-1.0199999999999991</v>
      </c>
      <c r="T11">
        <f t="shared" si="3"/>
        <v>0.14000000374303775</v>
      </c>
    </row>
    <row r="12" spans="1:20" x14ac:dyDescent="0.25">
      <c r="A12">
        <v>5</v>
      </c>
      <c r="B12">
        <v>1</v>
      </c>
      <c r="P12" s="5">
        <f t="shared" si="0"/>
        <v>1</v>
      </c>
      <c r="Q12" s="5">
        <f t="shared" si="1"/>
        <v>0</v>
      </c>
      <c r="S12">
        <f t="shared" si="4"/>
        <v>-0.87999999999999912</v>
      </c>
      <c r="T12">
        <f t="shared" si="3"/>
        <v>0.16000000450433358</v>
      </c>
    </row>
    <row r="13" spans="1:20" x14ac:dyDescent="0.25">
      <c r="S13">
        <f t="shared" si="4"/>
        <v>-0.7399999999999991</v>
      </c>
      <c r="T13">
        <f t="shared" si="3"/>
        <v>0.18000000526562937</v>
      </c>
    </row>
    <row r="14" spans="1:20" x14ac:dyDescent="0.25">
      <c r="A14" t="s">
        <v>67</v>
      </c>
      <c r="B14" s="6">
        <v>-1E-8</v>
      </c>
      <c r="O14" t="s">
        <v>71</v>
      </c>
      <c r="Q14" s="5">
        <f>SUM(Q2:Q12)</f>
        <v>3.6701152403280919E-16</v>
      </c>
      <c r="S14">
        <f t="shared" si="4"/>
        <v>-0.59999999999999909</v>
      </c>
      <c r="T14">
        <f t="shared" si="3"/>
        <v>0.20000000602692519</v>
      </c>
    </row>
    <row r="15" spans="1:20" x14ac:dyDescent="0.25">
      <c r="A15" t="s">
        <v>74</v>
      </c>
      <c r="B15" s="5">
        <v>1</v>
      </c>
      <c r="S15">
        <f t="shared" si="4"/>
        <v>-0.45999999999999908</v>
      </c>
      <c r="T15">
        <f t="shared" si="3"/>
        <v>0.22000000520218807</v>
      </c>
    </row>
    <row r="16" spans="1:20" x14ac:dyDescent="0.25">
      <c r="A16" t="s">
        <v>68</v>
      </c>
      <c r="B16" s="5">
        <f>1-EXP($B$14*(MAX($A$2:$A$12)-MIN($A$2:$A$12))^$B$15)</f>
        <v>6.9999997576175588E-8</v>
      </c>
      <c r="S16">
        <f t="shared" si="4"/>
        <v>-0.31999999999999906</v>
      </c>
      <c r="T16">
        <f t="shared" si="3"/>
        <v>0.24000000596348386</v>
      </c>
    </row>
    <row r="17" spans="19:20" x14ac:dyDescent="0.25">
      <c r="S17">
        <f t="shared" si="4"/>
        <v>-0.17999999999999905</v>
      </c>
      <c r="T17">
        <f t="shared" si="3"/>
        <v>0.26000000672477969</v>
      </c>
    </row>
    <row r="18" spans="19:20" x14ac:dyDescent="0.25">
      <c r="S18">
        <f t="shared" si="4"/>
        <v>-3.9999999999999036E-2</v>
      </c>
      <c r="T18">
        <f t="shared" si="3"/>
        <v>0.28000000748607551</v>
      </c>
    </row>
    <row r="19" spans="19:20" x14ac:dyDescent="0.25">
      <c r="S19">
        <f t="shared" si="4"/>
        <v>0.10000000000000098</v>
      </c>
      <c r="T19">
        <f t="shared" si="3"/>
        <v>0.30000000666133836</v>
      </c>
    </row>
    <row r="20" spans="19:20" x14ac:dyDescent="0.25">
      <c r="S20">
        <f t="shared" si="4"/>
        <v>0.24000000000000099</v>
      </c>
      <c r="T20">
        <f t="shared" si="3"/>
        <v>0.32000000742263418</v>
      </c>
    </row>
    <row r="21" spans="19:20" x14ac:dyDescent="0.25">
      <c r="S21">
        <f t="shared" si="4"/>
        <v>0.380000000000001</v>
      </c>
      <c r="T21">
        <f t="shared" si="3"/>
        <v>0.34000000818393</v>
      </c>
    </row>
    <row r="22" spans="19:20" x14ac:dyDescent="0.25">
      <c r="S22">
        <f t="shared" si="4"/>
        <v>0.52000000000000102</v>
      </c>
      <c r="T22">
        <f t="shared" si="3"/>
        <v>0.36000000735919285</v>
      </c>
    </row>
    <row r="23" spans="19:20" x14ac:dyDescent="0.25">
      <c r="S23">
        <f t="shared" si="4"/>
        <v>0.66000000000000103</v>
      </c>
      <c r="T23">
        <f t="shared" si="3"/>
        <v>0.38000000812048867</v>
      </c>
    </row>
    <row r="24" spans="19:20" x14ac:dyDescent="0.25">
      <c r="S24">
        <f t="shared" si="4"/>
        <v>0.80000000000000104</v>
      </c>
      <c r="T24">
        <f t="shared" si="3"/>
        <v>0.4000000088817845</v>
      </c>
    </row>
    <row r="25" spans="19:20" x14ac:dyDescent="0.25">
      <c r="S25">
        <f t="shared" si="4"/>
        <v>0.94000000000000106</v>
      </c>
      <c r="T25">
        <f t="shared" si="3"/>
        <v>0.42000000805704735</v>
      </c>
    </row>
    <row r="26" spans="19:20" x14ac:dyDescent="0.25">
      <c r="S26">
        <f t="shared" si="4"/>
        <v>1.080000000000001</v>
      </c>
      <c r="T26">
        <f t="shared" si="3"/>
        <v>0.44000000881834317</v>
      </c>
    </row>
    <row r="27" spans="19:20" x14ac:dyDescent="0.25">
      <c r="S27">
        <f t="shared" si="4"/>
        <v>1.2200000000000011</v>
      </c>
      <c r="T27">
        <f t="shared" si="3"/>
        <v>0.46000000799360602</v>
      </c>
    </row>
    <row r="28" spans="19:20" x14ac:dyDescent="0.25">
      <c r="S28">
        <f t="shared" si="4"/>
        <v>1.3600000000000012</v>
      </c>
      <c r="T28">
        <f t="shared" si="3"/>
        <v>0.48000000875490184</v>
      </c>
    </row>
    <row r="29" spans="19:20" x14ac:dyDescent="0.25">
      <c r="S29">
        <f t="shared" si="4"/>
        <v>1.5000000000000013</v>
      </c>
      <c r="T29">
        <f t="shared" si="3"/>
        <v>0.50000000793016475</v>
      </c>
    </row>
    <row r="30" spans="19:20" x14ac:dyDescent="0.25">
      <c r="S30">
        <f t="shared" si="4"/>
        <v>1.6400000000000015</v>
      </c>
      <c r="T30">
        <f t="shared" si="3"/>
        <v>0.52000000869146057</v>
      </c>
    </row>
    <row r="31" spans="19:20" x14ac:dyDescent="0.25">
      <c r="S31">
        <f t="shared" si="4"/>
        <v>1.7800000000000016</v>
      </c>
      <c r="T31">
        <f t="shared" si="3"/>
        <v>0.54000000786672342</v>
      </c>
    </row>
    <row r="32" spans="19:20" x14ac:dyDescent="0.25">
      <c r="S32">
        <f t="shared" si="4"/>
        <v>1.9200000000000017</v>
      </c>
      <c r="T32">
        <f t="shared" si="3"/>
        <v>0.56000000862801924</v>
      </c>
    </row>
    <row r="33" spans="19:20" x14ac:dyDescent="0.25">
      <c r="S33">
        <f t="shared" si="4"/>
        <v>2.0600000000000018</v>
      </c>
      <c r="T33">
        <f t="shared" si="3"/>
        <v>0.58000000780328209</v>
      </c>
    </row>
    <row r="34" spans="19:20" x14ac:dyDescent="0.25">
      <c r="S34">
        <f t="shared" si="4"/>
        <v>2.200000000000002</v>
      </c>
      <c r="T34">
        <f t="shared" si="3"/>
        <v>0.60000000856457791</v>
      </c>
    </row>
    <row r="35" spans="19:20" x14ac:dyDescent="0.25">
      <c r="S35">
        <f t="shared" si="4"/>
        <v>2.3400000000000021</v>
      </c>
      <c r="T35">
        <f t="shared" si="3"/>
        <v>0.62000000773984076</v>
      </c>
    </row>
    <row r="36" spans="19:20" x14ac:dyDescent="0.25">
      <c r="S36">
        <f t="shared" si="4"/>
        <v>2.4800000000000022</v>
      </c>
      <c r="T36">
        <f t="shared" si="3"/>
        <v>0.64000000850113659</v>
      </c>
    </row>
    <row r="37" spans="19:20" x14ac:dyDescent="0.25">
      <c r="S37">
        <f t="shared" si="4"/>
        <v>2.6200000000000023</v>
      </c>
      <c r="T37">
        <f t="shared" si="3"/>
        <v>0.66000000767639944</v>
      </c>
    </row>
    <row r="38" spans="19:20" x14ac:dyDescent="0.25">
      <c r="S38">
        <f t="shared" si="4"/>
        <v>2.7600000000000025</v>
      </c>
      <c r="T38">
        <f t="shared" si="3"/>
        <v>0.68000000685166229</v>
      </c>
    </row>
    <row r="39" spans="19:20" x14ac:dyDescent="0.25">
      <c r="S39">
        <f t="shared" si="4"/>
        <v>2.9000000000000026</v>
      </c>
      <c r="T39">
        <f t="shared" si="3"/>
        <v>0.70000000761295811</v>
      </c>
    </row>
    <row r="40" spans="19:20" x14ac:dyDescent="0.25">
      <c r="S40">
        <f t="shared" si="4"/>
        <v>3.0400000000000027</v>
      </c>
      <c r="T40">
        <f t="shared" si="3"/>
        <v>0.72000000678822096</v>
      </c>
    </row>
    <row r="41" spans="19:20" x14ac:dyDescent="0.25">
      <c r="S41">
        <f t="shared" si="4"/>
        <v>3.1800000000000028</v>
      </c>
      <c r="T41">
        <f t="shared" si="3"/>
        <v>0.74000000596348381</v>
      </c>
    </row>
    <row r="42" spans="19:20" x14ac:dyDescent="0.25">
      <c r="S42">
        <f t="shared" si="4"/>
        <v>3.3200000000000029</v>
      </c>
      <c r="T42">
        <f t="shared" si="3"/>
        <v>0.76000000672477963</v>
      </c>
    </row>
    <row r="43" spans="19:20" x14ac:dyDescent="0.25">
      <c r="S43">
        <f t="shared" si="4"/>
        <v>3.4600000000000031</v>
      </c>
      <c r="T43">
        <f t="shared" si="3"/>
        <v>0.78000000590004259</v>
      </c>
    </row>
    <row r="44" spans="19:20" x14ac:dyDescent="0.25">
      <c r="S44">
        <f t="shared" si="4"/>
        <v>3.6000000000000032</v>
      </c>
      <c r="T44">
        <f t="shared" si="3"/>
        <v>0.80000000507530544</v>
      </c>
    </row>
    <row r="45" spans="19:20" x14ac:dyDescent="0.25">
      <c r="S45">
        <f t="shared" si="4"/>
        <v>3.7400000000000033</v>
      </c>
      <c r="T45">
        <f t="shared" si="3"/>
        <v>0.82000000425056829</v>
      </c>
    </row>
    <row r="46" spans="19:20" x14ac:dyDescent="0.25">
      <c r="S46">
        <f t="shared" si="4"/>
        <v>3.8800000000000034</v>
      </c>
      <c r="T46">
        <f t="shared" si="3"/>
        <v>0.84000000501186411</v>
      </c>
    </row>
    <row r="47" spans="19:20" x14ac:dyDescent="0.25">
      <c r="S47">
        <f t="shared" si="4"/>
        <v>4.0200000000000031</v>
      </c>
      <c r="T47">
        <f t="shared" si="3"/>
        <v>0.86000000418712697</v>
      </c>
    </row>
    <row r="48" spans="19:20" x14ac:dyDescent="0.25">
      <c r="S48">
        <f t="shared" si="4"/>
        <v>4.1600000000000028</v>
      </c>
      <c r="T48">
        <f t="shared" si="3"/>
        <v>0.88000000336238982</v>
      </c>
    </row>
    <row r="49" spans="19:20" x14ac:dyDescent="0.25">
      <c r="S49">
        <f t="shared" si="4"/>
        <v>4.3000000000000025</v>
      </c>
      <c r="T49">
        <f t="shared" si="3"/>
        <v>0.90000000253765267</v>
      </c>
    </row>
    <row r="50" spans="19:20" x14ac:dyDescent="0.25">
      <c r="S50">
        <f t="shared" si="4"/>
        <v>4.4400000000000022</v>
      </c>
      <c r="T50">
        <f t="shared" si="3"/>
        <v>0.92000000171291552</v>
      </c>
    </row>
    <row r="51" spans="19:20" x14ac:dyDescent="0.25">
      <c r="S51">
        <f t="shared" si="4"/>
        <v>4.5800000000000018</v>
      </c>
      <c r="T51">
        <f t="shared" si="3"/>
        <v>0.94000000088817848</v>
      </c>
    </row>
    <row r="52" spans="19:20" x14ac:dyDescent="0.25">
      <c r="S52">
        <f t="shared" si="4"/>
        <v>4.7200000000000015</v>
      </c>
      <c r="T52">
        <f t="shared" si="3"/>
        <v>0.96000000164947419</v>
      </c>
    </row>
    <row r="53" spans="19:20" x14ac:dyDescent="0.25">
      <c r="S53">
        <f t="shared" si="4"/>
        <v>4.8600000000000012</v>
      </c>
      <c r="T53">
        <f t="shared" si="3"/>
        <v>0.98000000082473715</v>
      </c>
    </row>
    <row r="54" spans="19:20" x14ac:dyDescent="0.25">
      <c r="S54">
        <f t="shared" si="4"/>
        <v>5.0000000000000009</v>
      </c>
      <c r="T54">
        <f t="shared" si="3"/>
        <v>1</v>
      </c>
    </row>
    <row r="55" spans="19:20" x14ac:dyDescent="0.25">
      <c r="S55">
        <f t="shared" si="4"/>
        <v>5.1400000000000006</v>
      </c>
      <c r="T55">
        <f t="shared" si="3"/>
        <v>1</v>
      </c>
    </row>
    <row r="56" spans="19:20" x14ac:dyDescent="0.25">
      <c r="S56">
        <f t="shared" si="4"/>
        <v>5.28</v>
      </c>
      <c r="T56">
        <f t="shared" si="3"/>
        <v>1</v>
      </c>
    </row>
    <row r="57" spans="19:20" x14ac:dyDescent="0.25">
      <c r="S57">
        <f t="shared" si="4"/>
        <v>5.42</v>
      </c>
      <c r="T57">
        <f t="shared" si="3"/>
        <v>1</v>
      </c>
    </row>
    <row r="58" spans="19:20" x14ac:dyDescent="0.25">
      <c r="S58">
        <f t="shared" si="4"/>
        <v>5.56</v>
      </c>
      <c r="T58">
        <f t="shared" si="3"/>
        <v>1</v>
      </c>
    </row>
    <row r="59" spans="19:20" x14ac:dyDescent="0.25">
      <c r="S59">
        <f t="shared" si="4"/>
        <v>5.6999999999999993</v>
      </c>
      <c r="T59">
        <f t="shared" si="3"/>
        <v>1</v>
      </c>
    </row>
    <row r="60" spans="19:20" x14ac:dyDescent="0.25">
      <c r="S60">
        <f t="shared" si="4"/>
        <v>5.839999999999999</v>
      </c>
      <c r="T60">
        <f t="shared" si="3"/>
        <v>1</v>
      </c>
    </row>
    <row r="61" spans="19:20" x14ac:dyDescent="0.25">
      <c r="S61">
        <f t="shared" si="4"/>
        <v>5.9799999999999986</v>
      </c>
      <c r="T61">
        <f t="shared" si="3"/>
        <v>1</v>
      </c>
    </row>
    <row r="62" spans="19:20" x14ac:dyDescent="0.25">
      <c r="S62">
        <f t="shared" si="4"/>
        <v>6.1199999999999983</v>
      </c>
      <c r="T62">
        <f t="shared" si="3"/>
        <v>1</v>
      </c>
    </row>
    <row r="63" spans="19:20" x14ac:dyDescent="0.25">
      <c r="S63">
        <f t="shared" si="4"/>
        <v>6.259999999999998</v>
      </c>
      <c r="T63">
        <f t="shared" si="3"/>
        <v>1</v>
      </c>
    </row>
    <row r="64" spans="19:20" x14ac:dyDescent="0.25">
      <c r="S64">
        <f t="shared" si="4"/>
        <v>6.3999999999999977</v>
      </c>
      <c r="T64">
        <f t="shared" si="3"/>
        <v>1</v>
      </c>
    </row>
    <row r="65" spans="19:20" x14ac:dyDescent="0.25">
      <c r="S65">
        <f t="shared" si="4"/>
        <v>6.5399999999999974</v>
      </c>
      <c r="T65">
        <f t="shared" si="3"/>
        <v>1</v>
      </c>
    </row>
    <row r="66" spans="19:20" x14ac:dyDescent="0.25">
      <c r="S66">
        <f t="shared" si="4"/>
        <v>6.6799999999999971</v>
      </c>
      <c r="T66">
        <f t="shared" si="3"/>
        <v>1</v>
      </c>
    </row>
    <row r="67" spans="19:20" x14ac:dyDescent="0.25">
      <c r="S67">
        <f t="shared" si="4"/>
        <v>6.8199999999999967</v>
      </c>
      <c r="T67">
        <f t="shared" si="3"/>
        <v>1</v>
      </c>
    </row>
    <row r="68" spans="19:20" x14ac:dyDescent="0.25">
      <c r="S68">
        <f t="shared" si="4"/>
        <v>6.9599999999999964</v>
      </c>
      <c r="T68">
        <f t="shared" si="3"/>
        <v>1</v>
      </c>
    </row>
    <row r="69" spans="19:20" x14ac:dyDescent="0.25">
      <c r="S69">
        <f t="shared" si="4"/>
        <v>7.0999999999999961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7.2399999999999958</v>
      </c>
      <c r="T70">
        <f t="shared" si="5"/>
        <v>1</v>
      </c>
    </row>
    <row r="71" spans="19:20" x14ac:dyDescent="0.25">
      <c r="S71">
        <f t="shared" si="6"/>
        <v>7.3799999999999955</v>
      </c>
      <c r="T71">
        <f t="shared" si="5"/>
        <v>1</v>
      </c>
    </row>
    <row r="72" spans="19:20" x14ac:dyDescent="0.25">
      <c r="S72">
        <f t="shared" si="6"/>
        <v>7.5199999999999951</v>
      </c>
      <c r="T72">
        <f t="shared" si="5"/>
        <v>1</v>
      </c>
    </row>
    <row r="73" spans="19:20" x14ac:dyDescent="0.25">
      <c r="S73">
        <f t="shared" si="6"/>
        <v>7.6599999999999948</v>
      </c>
      <c r="T73">
        <f t="shared" si="5"/>
        <v>1</v>
      </c>
    </row>
    <row r="74" spans="19:20" x14ac:dyDescent="0.25">
      <c r="S74">
        <f t="shared" si="6"/>
        <v>7.7999999999999945</v>
      </c>
      <c r="T74">
        <f t="shared" si="5"/>
        <v>1</v>
      </c>
    </row>
    <row r="75" spans="19:20" x14ac:dyDescent="0.25">
      <c r="S75">
        <f t="shared" si="6"/>
        <v>7.9399999999999942</v>
      </c>
      <c r="T75">
        <f t="shared" si="5"/>
        <v>1</v>
      </c>
    </row>
    <row r="76" spans="19:20" x14ac:dyDescent="0.25">
      <c r="S76">
        <f t="shared" si="6"/>
        <v>8.0799999999999947</v>
      </c>
      <c r="T76">
        <f t="shared" si="5"/>
        <v>1</v>
      </c>
    </row>
    <row r="77" spans="19:20" x14ac:dyDescent="0.25">
      <c r="S77">
        <f t="shared" si="6"/>
        <v>8.2199999999999953</v>
      </c>
      <c r="T77">
        <f t="shared" si="5"/>
        <v>1</v>
      </c>
    </row>
    <row r="78" spans="19:20" x14ac:dyDescent="0.25">
      <c r="S78">
        <f t="shared" si="6"/>
        <v>8.3599999999999959</v>
      </c>
      <c r="T78">
        <f t="shared" si="5"/>
        <v>1</v>
      </c>
    </row>
    <row r="79" spans="19:20" x14ac:dyDescent="0.25">
      <c r="S79">
        <f t="shared" si="6"/>
        <v>8.4999999999999964</v>
      </c>
      <c r="T79">
        <f t="shared" si="5"/>
        <v>1</v>
      </c>
    </row>
    <row r="80" spans="19:20" x14ac:dyDescent="0.25">
      <c r="S80">
        <f t="shared" si="6"/>
        <v>8.639999999999997</v>
      </c>
      <c r="T80">
        <f t="shared" si="5"/>
        <v>1</v>
      </c>
    </row>
    <row r="81" spans="19:20" x14ac:dyDescent="0.25">
      <c r="S81">
        <f t="shared" si="6"/>
        <v>8.7799999999999976</v>
      </c>
      <c r="T81">
        <f t="shared" si="5"/>
        <v>1</v>
      </c>
    </row>
    <row r="82" spans="19:20" x14ac:dyDescent="0.25">
      <c r="S82">
        <f t="shared" si="6"/>
        <v>8.9199999999999982</v>
      </c>
      <c r="T82">
        <f t="shared" si="5"/>
        <v>1</v>
      </c>
    </row>
    <row r="83" spans="19:20" x14ac:dyDescent="0.25">
      <c r="S83">
        <f t="shared" si="6"/>
        <v>9.0599999999999987</v>
      </c>
      <c r="T83">
        <f t="shared" si="5"/>
        <v>1</v>
      </c>
    </row>
    <row r="84" spans="19:20" x14ac:dyDescent="0.25">
      <c r="S84">
        <f t="shared" si="6"/>
        <v>9.1999999999999993</v>
      </c>
      <c r="T84">
        <f t="shared" si="5"/>
        <v>1</v>
      </c>
    </row>
    <row r="85" spans="19:20" x14ac:dyDescent="0.25">
      <c r="S85">
        <f t="shared" si="6"/>
        <v>9.34</v>
      </c>
      <c r="T85">
        <f t="shared" si="5"/>
        <v>1</v>
      </c>
    </row>
    <row r="86" spans="19:20" x14ac:dyDescent="0.25">
      <c r="S86">
        <f t="shared" si="6"/>
        <v>9.48</v>
      </c>
      <c r="T86">
        <f t="shared" si="5"/>
        <v>1</v>
      </c>
    </row>
    <row r="87" spans="19:20" x14ac:dyDescent="0.25">
      <c r="S87">
        <f t="shared" si="6"/>
        <v>9.620000000000001</v>
      </c>
      <c r="T87">
        <f t="shared" si="5"/>
        <v>1</v>
      </c>
    </row>
    <row r="88" spans="19:20" x14ac:dyDescent="0.25">
      <c r="S88">
        <f t="shared" si="6"/>
        <v>9.7600000000000016</v>
      </c>
      <c r="T88">
        <f t="shared" si="5"/>
        <v>1</v>
      </c>
    </row>
    <row r="89" spans="19:20" x14ac:dyDescent="0.25">
      <c r="S89">
        <f t="shared" si="6"/>
        <v>9.9000000000000021</v>
      </c>
      <c r="T89">
        <f t="shared" si="5"/>
        <v>1</v>
      </c>
    </row>
    <row r="90" spans="19:20" x14ac:dyDescent="0.25">
      <c r="S90">
        <f t="shared" si="6"/>
        <v>10.040000000000003</v>
      </c>
      <c r="T90">
        <f t="shared" si="5"/>
        <v>1</v>
      </c>
    </row>
    <row r="91" spans="19:20" x14ac:dyDescent="0.25">
      <c r="S91">
        <f t="shared" si="6"/>
        <v>10.180000000000003</v>
      </c>
      <c r="T91">
        <f t="shared" si="5"/>
        <v>1</v>
      </c>
    </row>
    <row r="92" spans="19:20" x14ac:dyDescent="0.25">
      <c r="S92">
        <f t="shared" si="6"/>
        <v>10.320000000000004</v>
      </c>
      <c r="T92">
        <f t="shared" si="5"/>
        <v>1</v>
      </c>
    </row>
    <row r="93" spans="19:20" x14ac:dyDescent="0.25">
      <c r="S93">
        <f t="shared" si="6"/>
        <v>10.460000000000004</v>
      </c>
      <c r="T93">
        <f t="shared" si="5"/>
        <v>1</v>
      </c>
    </row>
    <row r="94" spans="19:20" x14ac:dyDescent="0.25">
      <c r="S94">
        <f t="shared" si="6"/>
        <v>10.600000000000005</v>
      </c>
      <c r="T94">
        <f t="shared" si="5"/>
        <v>1</v>
      </c>
    </row>
    <row r="95" spans="19:20" x14ac:dyDescent="0.25">
      <c r="S95">
        <f t="shared" si="6"/>
        <v>10.740000000000006</v>
      </c>
      <c r="T95">
        <f t="shared" si="5"/>
        <v>1</v>
      </c>
    </row>
    <row r="96" spans="19:20" x14ac:dyDescent="0.25">
      <c r="S96">
        <f t="shared" si="6"/>
        <v>10.880000000000006</v>
      </c>
      <c r="T96">
        <f t="shared" si="5"/>
        <v>1</v>
      </c>
    </row>
    <row r="97" spans="19:20" x14ac:dyDescent="0.25">
      <c r="S97">
        <f t="shared" si="6"/>
        <v>11.020000000000007</v>
      </c>
      <c r="T97">
        <f t="shared" si="5"/>
        <v>1</v>
      </c>
    </row>
    <row r="98" spans="19:20" x14ac:dyDescent="0.25">
      <c r="S98">
        <f t="shared" si="6"/>
        <v>11.160000000000007</v>
      </c>
      <c r="T98">
        <f t="shared" si="5"/>
        <v>1</v>
      </c>
    </row>
    <row r="99" spans="19:20" x14ac:dyDescent="0.25">
      <c r="S99">
        <f t="shared" si="6"/>
        <v>11.300000000000008</v>
      </c>
      <c r="T99">
        <f t="shared" si="5"/>
        <v>1</v>
      </c>
    </row>
    <row r="100" spans="19:20" x14ac:dyDescent="0.25">
      <c r="S100">
        <f t="shared" si="6"/>
        <v>11.440000000000008</v>
      </c>
      <c r="T100">
        <f t="shared" si="5"/>
        <v>1</v>
      </c>
    </row>
    <row r="101" spans="19:20" x14ac:dyDescent="0.25">
      <c r="S101">
        <f t="shared" si="6"/>
        <v>11.580000000000009</v>
      </c>
      <c r="T101">
        <f t="shared" si="5"/>
        <v>1</v>
      </c>
    </row>
    <row r="102" spans="19:20" x14ac:dyDescent="0.25">
      <c r="S102">
        <f t="shared" si="6"/>
        <v>11.72000000000001</v>
      </c>
      <c r="T102">
        <f t="shared" si="5"/>
        <v>1</v>
      </c>
    </row>
    <row r="103" spans="19:20" x14ac:dyDescent="0.25">
      <c r="S103">
        <f t="shared" si="6"/>
        <v>11.86000000000001</v>
      </c>
      <c r="T103">
        <f t="shared" si="5"/>
        <v>1</v>
      </c>
    </row>
    <row r="104" spans="19:20" x14ac:dyDescent="0.25">
      <c r="S104">
        <f t="shared" si="6"/>
        <v>12.000000000000011</v>
      </c>
      <c r="T104">
        <f t="shared" si="5"/>
        <v>1</v>
      </c>
    </row>
    <row r="105" spans="19:20" x14ac:dyDescent="0.25">
      <c r="S105">
        <f t="shared" si="6"/>
        <v>12.140000000000011</v>
      </c>
      <c r="T105">
        <f t="shared" si="5"/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</vt:vector>
  </HeadingPairs>
  <TitlesOfParts>
    <vt:vector size="12" baseType="lpstr">
      <vt:lpstr>Comm Payload</vt:lpstr>
      <vt:lpstr>Throughput</vt:lpstr>
      <vt:lpstr>Power output</vt:lpstr>
      <vt:lpstr>Receiver sensitivity</vt:lpstr>
      <vt:lpstr>Mesh capability</vt:lpstr>
      <vt:lpstr>Traffic type</vt:lpstr>
      <vt:lpstr>Power consumption</vt:lpstr>
      <vt:lpstr>Weight</vt:lpstr>
      <vt:lpstr>Technology maturity</vt:lpstr>
      <vt:lpstr>Tradeoff weights</vt:lpstr>
      <vt:lpstr>MoE</vt:lpstr>
      <vt:lpstr>Cost effectiveness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2014-05-17T10:13:46Z</dcterms:modified>
</cp:coreProperties>
</file>