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6.xml" ContentType="application/vnd.openxmlformats-officedocument.drawingml.chartshape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7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825" windowWidth="8040" windowHeight="4890" tabRatio="588" firstSheet="14" activeTab="16"/>
  </bookViews>
  <sheets>
    <sheet name="Aerial Platform" sheetId="1" r:id="rId1"/>
    <sheet name="Comm Payload" sheetId="2" r:id="rId2"/>
    <sheet name="Useful load" sheetId="14" r:id="rId3"/>
    <sheet name="Ceiling" sheetId="15" r:id="rId4"/>
    <sheet name="Endurance" sheetId="16" r:id="rId5"/>
    <sheet name="Range" sheetId="17" r:id="rId6"/>
    <sheet name="Cruise speed" sheetId="18" r:id="rId7"/>
    <sheet name="Observability" sheetId="24" r:id="rId8"/>
    <sheet name="Stealth" sheetId="26" r:id="rId9"/>
    <sheet name="Technology maturity" sheetId="19" r:id="rId10"/>
    <sheet name="All weather" sheetId="20" r:id="rId11"/>
    <sheet name="Man portability" sheetId="21" r:id="rId12"/>
    <sheet name="Launch method" sheetId="22" r:id="rId13"/>
    <sheet name="Recovery method" sheetId="23" r:id="rId14"/>
    <sheet name="Tradeoff weights" sheetId="25" r:id="rId15"/>
    <sheet name="MoE" sheetId="27" r:id="rId16"/>
    <sheet name="Cost effectiveness" sheetId="28" r:id="rId17"/>
    <sheet name="UAV V(x)" sheetId="3" r:id="rId18"/>
    <sheet name="UAV MOE" sheetId="6" r:id="rId19"/>
    <sheet name="Comm V(x)" sheetId="12" r:id="rId20"/>
    <sheet name="Comm MOE" sheetId="13" r:id="rId21"/>
  </sheets>
  <externalReferences>
    <externalReference r:id="rId22"/>
  </externalReferences>
  <definedNames>
    <definedName name="solver_adj" localSheetId="10" hidden="1">'All weather'!$B$14:$B$15</definedName>
    <definedName name="solver_adj" localSheetId="3" hidden="1">Ceiling!$B$14:$B$15</definedName>
    <definedName name="solver_adj" localSheetId="6" hidden="1">'Cruise speed'!$B$14:$B$15</definedName>
    <definedName name="solver_adj" localSheetId="4" hidden="1">Endurance!$B$14:$B$15</definedName>
    <definedName name="solver_adj" localSheetId="12" hidden="1">'Launch method'!$B$14:$B$15</definedName>
    <definedName name="solver_adj" localSheetId="11" hidden="1">'Man portability'!$B$14:$B$15</definedName>
    <definedName name="solver_adj" localSheetId="7" hidden="1">Observability!$B$14:$B$15</definedName>
    <definedName name="solver_adj" localSheetId="5" hidden="1">Range!$B$14:$B$15</definedName>
    <definedName name="solver_adj" localSheetId="13" hidden="1">'Recovery method'!$B$14:$B$15</definedName>
    <definedName name="solver_adj" localSheetId="8" hidden="1">Stealth!$B$14:$B$15</definedName>
    <definedName name="solver_adj" localSheetId="9" hidden="1">'Technology maturity'!$B$14:$B$15</definedName>
    <definedName name="solver_adj" localSheetId="2" hidden="1">'Useful load'!$B$14:$B$15</definedName>
    <definedName name="solver_cvg" localSheetId="10" hidden="1">0.0001</definedName>
    <definedName name="solver_cvg" localSheetId="3" hidden="1">0.0001</definedName>
    <definedName name="solver_cvg" localSheetId="6" hidden="1">0.0001</definedName>
    <definedName name="solver_cvg" localSheetId="4" hidden="1">0.0001</definedName>
    <definedName name="solver_cvg" localSheetId="12" hidden="1">0.0001</definedName>
    <definedName name="solver_cvg" localSheetId="11" hidden="1">0.0001</definedName>
    <definedName name="solver_cvg" localSheetId="7" hidden="1">0.0001</definedName>
    <definedName name="solver_cvg" localSheetId="5" hidden="1">0.0001</definedName>
    <definedName name="solver_cvg" localSheetId="13" hidden="1">0.0001</definedName>
    <definedName name="solver_cvg" localSheetId="8" hidden="1">0.0001</definedName>
    <definedName name="solver_cvg" localSheetId="9" hidden="1">0.0001</definedName>
    <definedName name="solver_cvg" localSheetId="2" hidden="1">0.0001</definedName>
    <definedName name="solver_drv" localSheetId="10" hidden="1">1</definedName>
    <definedName name="solver_drv" localSheetId="3" hidden="1">1</definedName>
    <definedName name="solver_drv" localSheetId="6" hidden="1">1</definedName>
    <definedName name="solver_drv" localSheetId="4" hidden="1">1</definedName>
    <definedName name="solver_drv" localSheetId="12" hidden="1">1</definedName>
    <definedName name="solver_drv" localSheetId="11" hidden="1">1</definedName>
    <definedName name="solver_drv" localSheetId="7" hidden="1">1</definedName>
    <definedName name="solver_drv" localSheetId="5" hidden="1">1</definedName>
    <definedName name="solver_drv" localSheetId="13" hidden="1">1</definedName>
    <definedName name="solver_drv" localSheetId="8" hidden="1">1</definedName>
    <definedName name="solver_drv" localSheetId="9" hidden="1">1</definedName>
    <definedName name="solver_drv" localSheetId="2" hidden="1">1</definedName>
    <definedName name="solver_eng" localSheetId="10" hidden="1">1</definedName>
    <definedName name="solver_eng" localSheetId="3" hidden="1">1</definedName>
    <definedName name="solver_eng" localSheetId="19" hidden="1">1</definedName>
    <definedName name="solver_eng" localSheetId="6" hidden="1">1</definedName>
    <definedName name="solver_eng" localSheetId="4" hidden="1">1</definedName>
    <definedName name="solver_eng" localSheetId="12" hidden="1">1</definedName>
    <definedName name="solver_eng" localSheetId="11" hidden="1">1</definedName>
    <definedName name="solver_eng" localSheetId="7" hidden="1">1</definedName>
    <definedName name="solver_eng" localSheetId="5" hidden="1">1</definedName>
    <definedName name="solver_eng" localSheetId="13" hidden="1">1</definedName>
    <definedName name="solver_eng" localSheetId="8" hidden="1">1</definedName>
    <definedName name="solver_eng" localSheetId="9" hidden="1">1</definedName>
    <definedName name="solver_eng" localSheetId="17" hidden="1">1</definedName>
    <definedName name="solver_eng" localSheetId="2" hidden="1">1</definedName>
    <definedName name="solver_est" localSheetId="10" hidden="1">1</definedName>
    <definedName name="solver_est" localSheetId="3" hidden="1">1</definedName>
    <definedName name="solver_est" localSheetId="6" hidden="1">1</definedName>
    <definedName name="solver_est" localSheetId="4" hidden="1">1</definedName>
    <definedName name="solver_est" localSheetId="12" hidden="1">1</definedName>
    <definedName name="solver_est" localSheetId="11" hidden="1">1</definedName>
    <definedName name="solver_est" localSheetId="7" hidden="1">1</definedName>
    <definedName name="solver_est" localSheetId="5" hidden="1">1</definedName>
    <definedName name="solver_est" localSheetId="13" hidden="1">1</definedName>
    <definedName name="solver_est" localSheetId="8" hidden="1">1</definedName>
    <definedName name="solver_est" localSheetId="9" hidden="1">1</definedName>
    <definedName name="solver_est" localSheetId="2" hidden="1">1</definedName>
    <definedName name="solver_itr" localSheetId="10" hidden="1">2147483647</definedName>
    <definedName name="solver_itr" localSheetId="3" hidden="1">2147483647</definedName>
    <definedName name="solver_itr" localSheetId="6" hidden="1">2147483647</definedName>
    <definedName name="solver_itr" localSheetId="4" hidden="1">2147483647</definedName>
    <definedName name="solver_itr" localSheetId="12" hidden="1">2147483647</definedName>
    <definedName name="solver_itr" localSheetId="11" hidden="1">2147483647</definedName>
    <definedName name="solver_itr" localSheetId="7" hidden="1">2147483647</definedName>
    <definedName name="solver_itr" localSheetId="5" hidden="1">2147483647</definedName>
    <definedName name="solver_itr" localSheetId="13" hidden="1">2147483647</definedName>
    <definedName name="solver_itr" localSheetId="8" hidden="1">2147483647</definedName>
    <definedName name="solver_itr" localSheetId="9" hidden="1">2147483647</definedName>
    <definedName name="solver_itr" localSheetId="2" hidden="1">2147483647</definedName>
    <definedName name="solver_lhs1" localSheetId="10" hidden="1">'All weather'!$B$15</definedName>
    <definedName name="solver_lhs1" localSheetId="3" hidden="1">Ceiling!$B$15</definedName>
    <definedName name="solver_lhs1" localSheetId="6" hidden="1">'Cruise speed'!$B$15</definedName>
    <definedName name="solver_lhs1" localSheetId="4" hidden="1">Endurance!$B$15</definedName>
    <definedName name="solver_lhs1" localSheetId="12" hidden="1">'Launch method'!$B$15</definedName>
    <definedName name="solver_lhs1" localSheetId="11" hidden="1">'Man portability'!$B$15</definedName>
    <definedName name="solver_lhs1" localSheetId="7" hidden="1">Observability!$B$15</definedName>
    <definedName name="solver_lhs1" localSheetId="5" hidden="1">Range!$B$15</definedName>
    <definedName name="solver_lhs1" localSheetId="13" hidden="1">'Recovery method'!$B$15</definedName>
    <definedName name="solver_lhs1" localSheetId="8" hidden="1">Stealth!$B$15</definedName>
    <definedName name="solver_lhs1" localSheetId="9" hidden="1">'Technology maturity'!$B$15</definedName>
    <definedName name="solver_lhs1" localSheetId="2" hidden="1">'Useful load'!$B$15</definedName>
    <definedName name="solver_mip" localSheetId="10" hidden="1">2147483647</definedName>
    <definedName name="solver_mip" localSheetId="3" hidden="1">2147483647</definedName>
    <definedName name="solver_mip" localSheetId="6" hidden="1">2147483647</definedName>
    <definedName name="solver_mip" localSheetId="4" hidden="1">2147483647</definedName>
    <definedName name="solver_mip" localSheetId="12" hidden="1">2147483647</definedName>
    <definedName name="solver_mip" localSheetId="11" hidden="1">2147483647</definedName>
    <definedName name="solver_mip" localSheetId="7" hidden="1">2147483647</definedName>
    <definedName name="solver_mip" localSheetId="5" hidden="1">2147483647</definedName>
    <definedName name="solver_mip" localSheetId="13" hidden="1">2147483647</definedName>
    <definedName name="solver_mip" localSheetId="8" hidden="1">2147483647</definedName>
    <definedName name="solver_mip" localSheetId="9" hidden="1">2147483647</definedName>
    <definedName name="solver_mip" localSheetId="2" hidden="1">2147483647</definedName>
    <definedName name="solver_mni" localSheetId="10" hidden="1">30</definedName>
    <definedName name="solver_mni" localSheetId="3" hidden="1">30</definedName>
    <definedName name="solver_mni" localSheetId="6" hidden="1">30</definedName>
    <definedName name="solver_mni" localSheetId="4" hidden="1">30</definedName>
    <definedName name="solver_mni" localSheetId="12" hidden="1">30</definedName>
    <definedName name="solver_mni" localSheetId="11" hidden="1">30</definedName>
    <definedName name="solver_mni" localSheetId="7" hidden="1">30</definedName>
    <definedName name="solver_mni" localSheetId="5" hidden="1">30</definedName>
    <definedName name="solver_mni" localSheetId="13" hidden="1">30</definedName>
    <definedName name="solver_mni" localSheetId="8" hidden="1">30</definedName>
    <definedName name="solver_mni" localSheetId="9" hidden="1">30</definedName>
    <definedName name="solver_mni" localSheetId="2" hidden="1">30</definedName>
    <definedName name="solver_mrt" localSheetId="10" hidden="1">0.075</definedName>
    <definedName name="solver_mrt" localSheetId="3" hidden="1">0.075</definedName>
    <definedName name="solver_mrt" localSheetId="6" hidden="1">0.075</definedName>
    <definedName name="solver_mrt" localSheetId="4" hidden="1">0.075</definedName>
    <definedName name="solver_mrt" localSheetId="12" hidden="1">0.075</definedName>
    <definedName name="solver_mrt" localSheetId="11" hidden="1">0.075</definedName>
    <definedName name="solver_mrt" localSheetId="7" hidden="1">0.075</definedName>
    <definedName name="solver_mrt" localSheetId="5" hidden="1">0.075</definedName>
    <definedName name="solver_mrt" localSheetId="13" hidden="1">0.075</definedName>
    <definedName name="solver_mrt" localSheetId="8" hidden="1">0.075</definedName>
    <definedName name="solver_mrt" localSheetId="9" hidden="1">0.075</definedName>
    <definedName name="solver_mrt" localSheetId="2" hidden="1">0.075</definedName>
    <definedName name="solver_msl" localSheetId="10" hidden="1">2</definedName>
    <definedName name="solver_msl" localSheetId="3" hidden="1">2</definedName>
    <definedName name="solver_msl" localSheetId="6" hidden="1">2</definedName>
    <definedName name="solver_msl" localSheetId="4" hidden="1">2</definedName>
    <definedName name="solver_msl" localSheetId="12" hidden="1">2</definedName>
    <definedName name="solver_msl" localSheetId="11" hidden="1">2</definedName>
    <definedName name="solver_msl" localSheetId="7" hidden="1">2</definedName>
    <definedName name="solver_msl" localSheetId="5" hidden="1">2</definedName>
    <definedName name="solver_msl" localSheetId="13" hidden="1">2</definedName>
    <definedName name="solver_msl" localSheetId="8" hidden="1">2</definedName>
    <definedName name="solver_msl" localSheetId="9" hidden="1">2</definedName>
    <definedName name="solver_msl" localSheetId="2" hidden="1">2</definedName>
    <definedName name="solver_neg" localSheetId="10" hidden="1">2</definedName>
    <definedName name="solver_neg" localSheetId="3" hidden="1">2</definedName>
    <definedName name="solver_neg" localSheetId="19" hidden="1">1</definedName>
    <definedName name="solver_neg" localSheetId="6" hidden="1">2</definedName>
    <definedName name="solver_neg" localSheetId="4" hidden="1">2</definedName>
    <definedName name="solver_neg" localSheetId="12" hidden="1">2</definedName>
    <definedName name="solver_neg" localSheetId="11" hidden="1">2</definedName>
    <definedName name="solver_neg" localSheetId="7" hidden="1">2</definedName>
    <definedName name="solver_neg" localSheetId="5" hidden="1">2</definedName>
    <definedName name="solver_neg" localSheetId="13" hidden="1">2</definedName>
    <definedName name="solver_neg" localSheetId="8" hidden="1">2</definedName>
    <definedName name="solver_neg" localSheetId="9" hidden="1">2</definedName>
    <definedName name="solver_neg" localSheetId="17" hidden="1">1</definedName>
    <definedName name="solver_neg" localSheetId="2" hidden="1">2</definedName>
    <definedName name="solver_nod" localSheetId="10" hidden="1">2147483647</definedName>
    <definedName name="solver_nod" localSheetId="3" hidden="1">2147483647</definedName>
    <definedName name="solver_nod" localSheetId="6" hidden="1">2147483647</definedName>
    <definedName name="solver_nod" localSheetId="4" hidden="1">2147483647</definedName>
    <definedName name="solver_nod" localSheetId="12" hidden="1">2147483647</definedName>
    <definedName name="solver_nod" localSheetId="11" hidden="1">2147483647</definedName>
    <definedName name="solver_nod" localSheetId="7" hidden="1">2147483647</definedName>
    <definedName name="solver_nod" localSheetId="5" hidden="1">2147483647</definedName>
    <definedName name="solver_nod" localSheetId="13" hidden="1">2147483647</definedName>
    <definedName name="solver_nod" localSheetId="8" hidden="1">2147483647</definedName>
    <definedName name="solver_nod" localSheetId="9" hidden="1">2147483647</definedName>
    <definedName name="solver_nod" localSheetId="2" hidden="1">2147483647</definedName>
    <definedName name="solver_num" localSheetId="10" hidden="1">1</definedName>
    <definedName name="solver_num" localSheetId="3" hidden="1">1</definedName>
    <definedName name="solver_num" localSheetId="19" hidden="1">0</definedName>
    <definedName name="solver_num" localSheetId="6" hidden="1">1</definedName>
    <definedName name="solver_num" localSheetId="4" hidden="1">1</definedName>
    <definedName name="solver_num" localSheetId="12" hidden="1">1</definedName>
    <definedName name="solver_num" localSheetId="11" hidden="1">1</definedName>
    <definedName name="solver_num" localSheetId="7" hidden="1">1</definedName>
    <definedName name="solver_num" localSheetId="5" hidden="1">1</definedName>
    <definedName name="solver_num" localSheetId="13" hidden="1">1</definedName>
    <definedName name="solver_num" localSheetId="8" hidden="1">1</definedName>
    <definedName name="solver_num" localSheetId="9" hidden="1">1</definedName>
    <definedName name="solver_num" localSheetId="17" hidden="1">0</definedName>
    <definedName name="solver_num" localSheetId="2" hidden="1">1</definedName>
    <definedName name="solver_nwt" localSheetId="10" hidden="1">1</definedName>
    <definedName name="solver_nwt" localSheetId="3" hidden="1">1</definedName>
    <definedName name="solver_nwt" localSheetId="6" hidden="1">1</definedName>
    <definedName name="solver_nwt" localSheetId="4" hidden="1">1</definedName>
    <definedName name="solver_nwt" localSheetId="12" hidden="1">1</definedName>
    <definedName name="solver_nwt" localSheetId="11" hidden="1">1</definedName>
    <definedName name="solver_nwt" localSheetId="7" hidden="1">1</definedName>
    <definedName name="solver_nwt" localSheetId="5" hidden="1">1</definedName>
    <definedName name="solver_nwt" localSheetId="13" hidden="1">1</definedName>
    <definedName name="solver_nwt" localSheetId="8" hidden="1">1</definedName>
    <definedName name="solver_nwt" localSheetId="9" hidden="1">1</definedName>
    <definedName name="solver_nwt" localSheetId="2" hidden="1">1</definedName>
    <definedName name="solver_opt" localSheetId="10" hidden="1">'All weather'!$Q$14</definedName>
    <definedName name="solver_opt" localSheetId="3" hidden="1">Ceiling!$Q$14</definedName>
    <definedName name="solver_opt" localSheetId="19" hidden="1">'Comm V(x)'!#REF!</definedName>
    <definedName name="solver_opt" localSheetId="6" hidden="1">'Cruise speed'!$Q$14</definedName>
    <definedName name="solver_opt" localSheetId="4" hidden="1">Endurance!$Q$14</definedName>
    <definedName name="solver_opt" localSheetId="12" hidden="1">'Launch method'!$Q$14</definedName>
    <definedName name="solver_opt" localSheetId="11" hidden="1">'Man portability'!$Q$14</definedName>
    <definedName name="solver_opt" localSheetId="7" hidden="1">Observability!$Q$14</definedName>
    <definedName name="solver_opt" localSheetId="5" hidden="1">Range!$Q$14</definedName>
    <definedName name="solver_opt" localSheetId="13" hidden="1">'Recovery method'!$Q$14</definedName>
    <definedName name="solver_opt" localSheetId="8" hidden="1">Stealth!$Q$14</definedName>
    <definedName name="solver_opt" localSheetId="9" hidden="1">'Technology maturity'!$Q$14</definedName>
    <definedName name="solver_opt" localSheetId="17" hidden="1">'UAV V(x)'!$A$19</definedName>
    <definedName name="solver_opt" localSheetId="2" hidden="1">'Useful load'!$Q$14</definedName>
    <definedName name="solver_pre" localSheetId="10" hidden="1">0.000001</definedName>
    <definedName name="solver_pre" localSheetId="3" hidden="1">0.000001</definedName>
    <definedName name="solver_pre" localSheetId="6" hidden="1">0.000001</definedName>
    <definedName name="solver_pre" localSheetId="4" hidden="1">0.000001</definedName>
    <definedName name="solver_pre" localSheetId="12" hidden="1">0.000001</definedName>
    <definedName name="solver_pre" localSheetId="11" hidden="1">0.000001</definedName>
    <definedName name="solver_pre" localSheetId="7" hidden="1">0.000001</definedName>
    <definedName name="solver_pre" localSheetId="5" hidden="1">0.000001</definedName>
    <definedName name="solver_pre" localSheetId="13" hidden="1">0.000001</definedName>
    <definedName name="solver_pre" localSheetId="8" hidden="1">0.000001</definedName>
    <definedName name="solver_pre" localSheetId="9" hidden="1">0.000001</definedName>
    <definedName name="solver_pre" localSheetId="2" hidden="1">0.000001</definedName>
    <definedName name="solver_rbv" localSheetId="10" hidden="1">2</definedName>
    <definedName name="solver_rbv" localSheetId="3" hidden="1">2</definedName>
    <definedName name="solver_rbv" localSheetId="6" hidden="1">2</definedName>
    <definedName name="solver_rbv" localSheetId="4" hidden="1">2</definedName>
    <definedName name="solver_rbv" localSheetId="12" hidden="1">2</definedName>
    <definedName name="solver_rbv" localSheetId="11" hidden="1">2</definedName>
    <definedName name="solver_rbv" localSheetId="7" hidden="1">2</definedName>
    <definedName name="solver_rbv" localSheetId="5" hidden="1">2</definedName>
    <definedName name="solver_rbv" localSheetId="13" hidden="1">2</definedName>
    <definedName name="solver_rbv" localSheetId="8" hidden="1">2</definedName>
    <definedName name="solver_rbv" localSheetId="9" hidden="1">2</definedName>
    <definedName name="solver_rbv" localSheetId="2" hidden="1">2</definedName>
    <definedName name="solver_rel1" localSheetId="10" hidden="1">3</definedName>
    <definedName name="solver_rel1" localSheetId="3" hidden="1">3</definedName>
    <definedName name="solver_rel1" localSheetId="6" hidden="1">3</definedName>
    <definedName name="solver_rel1" localSheetId="4" hidden="1">3</definedName>
    <definedName name="solver_rel1" localSheetId="12" hidden="1">3</definedName>
    <definedName name="solver_rel1" localSheetId="11" hidden="1">3</definedName>
    <definedName name="solver_rel1" localSheetId="7" hidden="1">3</definedName>
    <definedName name="solver_rel1" localSheetId="5" hidden="1">3</definedName>
    <definedName name="solver_rel1" localSheetId="13" hidden="1">3</definedName>
    <definedName name="solver_rel1" localSheetId="8" hidden="1">3</definedName>
    <definedName name="solver_rel1" localSheetId="9" hidden="1">3</definedName>
    <definedName name="solver_rel1" localSheetId="2" hidden="1">3</definedName>
    <definedName name="solver_rhs1" localSheetId="10" hidden="1">0</definedName>
    <definedName name="solver_rhs1" localSheetId="3" hidden="1">0</definedName>
    <definedName name="solver_rhs1" localSheetId="6" hidden="1">0</definedName>
    <definedName name="solver_rhs1" localSheetId="4" hidden="1">0</definedName>
    <definedName name="solver_rhs1" localSheetId="12" hidden="1">0</definedName>
    <definedName name="solver_rhs1" localSheetId="11" hidden="1">0</definedName>
    <definedName name="solver_rhs1" localSheetId="7" hidden="1">0</definedName>
    <definedName name="solver_rhs1" localSheetId="5" hidden="1">0</definedName>
    <definedName name="solver_rhs1" localSheetId="13" hidden="1">0</definedName>
    <definedName name="solver_rhs1" localSheetId="8" hidden="1">0</definedName>
    <definedName name="solver_rhs1" localSheetId="9" hidden="1">0</definedName>
    <definedName name="solver_rhs1" localSheetId="2" hidden="1">0</definedName>
    <definedName name="solver_rlx" localSheetId="10" hidden="1">2</definedName>
    <definedName name="solver_rlx" localSheetId="3" hidden="1">2</definedName>
    <definedName name="solver_rlx" localSheetId="6" hidden="1">2</definedName>
    <definedName name="solver_rlx" localSheetId="4" hidden="1">2</definedName>
    <definedName name="solver_rlx" localSheetId="12" hidden="1">2</definedName>
    <definedName name="solver_rlx" localSheetId="11" hidden="1">2</definedName>
    <definedName name="solver_rlx" localSheetId="7" hidden="1">2</definedName>
    <definedName name="solver_rlx" localSheetId="5" hidden="1">2</definedName>
    <definedName name="solver_rlx" localSheetId="13" hidden="1">2</definedName>
    <definedName name="solver_rlx" localSheetId="8" hidden="1">2</definedName>
    <definedName name="solver_rlx" localSheetId="9" hidden="1">2</definedName>
    <definedName name="solver_rlx" localSheetId="2" hidden="1">2</definedName>
    <definedName name="solver_rsd" localSheetId="10" hidden="1">0</definedName>
    <definedName name="solver_rsd" localSheetId="3" hidden="1">0</definedName>
    <definedName name="solver_rsd" localSheetId="6" hidden="1">0</definedName>
    <definedName name="solver_rsd" localSheetId="4" hidden="1">0</definedName>
    <definedName name="solver_rsd" localSheetId="12" hidden="1">0</definedName>
    <definedName name="solver_rsd" localSheetId="11" hidden="1">0</definedName>
    <definedName name="solver_rsd" localSheetId="7" hidden="1">0</definedName>
    <definedName name="solver_rsd" localSheetId="5" hidden="1">0</definedName>
    <definedName name="solver_rsd" localSheetId="13" hidden="1">0</definedName>
    <definedName name="solver_rsd" localSheetId="8" hidden="1">0</definedName>
    <definedName name="solver_rsd" localSheetId="9" hidden="1">0</definedName>
    <definedName name="solver_rsd" localSheetId="2" hidden="1">0</definedName>
    <definedName name="solver_scl" localSheetId="10" hidden="1">1</definedName>
    <definedName name="solver_scl" localSheetId="3" hidden="1">1</definedName>
    <definedName name="solver_scl" localSheetId="6" hidden="1">1</definedName>
    <definedName name="solver_scl" localSheetId="4" hidden="1">1</definedName>
    <definedName name="solver_scl" localSheetId="12" hidden="1">1</definedName>
    <definedName name="solver_scl" localSheetId="11" hidden="1">1</definedName>
    <definedName name="solver_scl" localSheetId="7" hidden="1">1</definedName>
    <definedName name="solver_scl" localSheetId="5" hidden="1">1</definedName>
    <definedName name="solver_scl" localSheetId="13" hidden="1">1</definedName>
    <definedName name="solver_scl" localSheetId="8" hidden="1">1</definedName>
    <definedName name="solver_scl" localSheetId="9" hidden="1">1</definedName>
    <definedName name="solver_scl" localSheetId="2" hidden="1">1</definedName>
    <definedName name="solver_sho" localSheetId="10" hidden="1">2</definedName>
    <definedName name="solver_sho" localSheetId="3" hidden="1">2</definedName>
    <definedName name="solver_sho" localSheetId="6" hidden="1">2</definedName>
    <definedName name="solver_sho" localSheetId="4" hidden="1">2</definedName>
    <definedName name="solver_sho" localSheetId="12" hidden="1">2</definedName>
    <definedName name="solver_sho" localSheetId="11" hidden="1">2</definedName>
    <definedName name="solver_sho" localSheetId="7" hidden="1">2</definedName>
    <definedName name="solver_sho" localSheetId="5" hidden="1">2</definedName>
    <definedName name="solver_sho" localSheetId="13" hidden="1">2</definedName>
    <definedName name="solver_sho" localSheetId="8" hidden="1">2</definedName>
    <definedName name="solver_sho" localSheetId="9" hidden="1">2</definedName>
    <definedName name="solver_sho" localSheetId="2" hidden="1">2</definedName>
    <definedName name="solver_ssz" localSheetId="10" hidden="1">100</definedName>
    <definedName name="solver_ssz" localSheetId="3" hidden="1">100</definedName>
    <definedName name="solver_ssz" localSheetId="6" hidden="1">100</definedName>
    <definedName name="solver_ssz" localSheetId="4" hidden="1">100</definedName>
    <definedName name="solver_ssz" localSheetId="12" hidden="1">100</definedName>
    <definedName name="solver_ssz" localSheetId="11" hidden="1">100</definedName>
    <definedName name="solver_ssz" localSheetId="7" hidden="1">100</definedName>
    <definedName name="solver_ssz" localSheetId="5" hidden="1">100</definedName>
    <definedName name="solver_ssz" localSheetId="13" hidden="1">100</definedName>
    <definedName name="solver_ssz" localSheetId="8" hidden="1">100</definedName>
    <definedName name="solver_ssz" localSheetId="9" hidden="1">100</definedName>
    <definedName name="solver_ssz" localSheetId="2" hidden="1">100</definedName>
    <definedName name="solver_tim" localSheetId="10" hidden="1">2147483647</definedName>
    <definedName name="solver_tim" localSheetId="3" hidden="1">2147483647</definedName>
    <definedName name="solver_tim" localSheetId="6" hidden="1">2147483647</definedName>
    <definedName name="solver_tim" localSheetId="4" hidden="1">2147483647</definedName>
    <definedName name="solver_tim" localSheetId="12" hidden="1">2147483647</definedName>
    <definedName name="solver_tim" localSheetId="11" hidden="1">2147483647</definedName>
    <definedName name="solver_tim" localSheetId="7" hidden="1">2147483647</definedName>
    <definedName name="solver_tim" localSheetId="5" hidden="1">2147483647</definedName>
    <definedName name="solver_tim" localSheetId="13" hidden="1">2147483647</definedName>
    <definedName name="solver_tim" localSheetId="8" hidden="1">2147483647</definedName>
    <definedName name="solver_tim" localSheetId="9" hidden="1">2147483647</definedName>
    <definedName name="solver_tim" localSheetId="2" hidden="1">2147483647</definedName>
    <definedName name="solver_tol" localSheetId="10" hidden="1">0.01</definedName>
    <definedName name="solver_tol" localSheetId="3" hidden="1">0.01</definedName>
    <definedName name="solver_tol" localSheetId="6" hidden="1">0.01</definedName>
    <definedName name="solver_tol" localSheetId="4" hidden="1">0.01</definedName>
    <definedName name="solver_tol" localSheetId="12" hidden="1">0.01</definedName>
    <definedName name="solver_tol" localSheetId="11" hidden="1">0.01</definedName>
    <definedName name="solver_tol" localSheetId="7" hidden="1">0.01</definedName>
    <definedName name="solver_tol" localSheetId="5" hidden="1">0.01</definedName>
    <definedName name="solver_tol" localSheetId="13" hidden="1">0.01</definedName>
    <definedName name="solver_tol" localSheetId="8" hidden="1">0.01</definedName>
    <definedName name="solver_tol" localSheetId="9" hidden="1">0.01</definedName>
    <definedName name="solver_tol" localSheetId="2" hidden="1">0.01</definedName>
    <definedName name="solver_typ" localSheetId="10" hidden="1">2</definedName>
    <definedName name="solver_typ" localSheetId="3" hidden="1">2</definedName>
    <definedName name="solver_typ" localSheetId="19" hidden="1">1</definedName>
    <definedName name="solver_typ" localSheetId="6" hidden="1">2</definedName>
    <definedName name="solver_typ" localSheetId="4" hidden="1">2</definedName>
    <definedName name="solver_typ" localSheetId="12" hidden="1">2</definedName>
    <definedName name="solver_typ" localSheetId="11" hidden="1">2</definedName>
    <definedName name="solver_typ" localSheetId="7" hidden="1">2</definedName>
    <definedName name="solver_typ" localSheetId="5" hidden="1">2</definedName>
    <definedName name="solver_typ" localSheetId="13" hidden="1">2</definedName>
    <definedName name="solver_typ" localSheetId="8" hidden="1">2</definedName>
    <definedName name="solver_typ" localSheetId="9" hidden="1">2</definedName>
    <definedName name="solver_typ" localSheetId="17" hidden="1">1</definedName>
    <definedName name="solver_typ" localSheetId="2" hidden="1">2</definedName>
    <definedName name="solver_val" localSheetId="10" hidden="1">0</definedName>
    <definedName name="solver_val" localSheetId="3" hidden="1">0</definedName>
    <definedName name="solver_val" localSheetId="19" hidden="1">0</definedName>
    <definedName name="solver_val" localSheetId="6" hidden="1">0</definedName>
    <definedName name="solver_val" localSheetId="4" hidden="1">0</definedName>
    <definedName name="solver_val" localSheetId="12" hidden="1">0</definedName>
    <definedName name="solver_val" localSheetId="11" hidden="1">0</definedName>
    <definedName name="solver_val" localSheetId="7" hidden="1">0</definedName>
    <definedName name="solver_val" localSheetId="5" hidden="1">0</definedName>
    <definedName name="solver_val" localSheetId="13" hidden="1">0</definedName>
    <definedName name="solver_val" localSheetId="8" hidden="1">0</definedName>
    <definedName name="solver_val" localSheetId="9" hidden="1">0</definedName>
    <definedName name="solver_val" localSheetId="17" hidden="1">0</definedName>
    <definedName name="solver_val" localSheetId="2" hidden="1">0</definedName>
    <definedName name="solver_ver" localSheetId="10" hidden="1">3</definedName>
    <definedName name="solver_ver" localSheetId="3" hidden="1">3</definedName>
    <definedName name="solver_ver" localSheetId="19" hidden="1">3</definedName>
    <definedName name="solver_ver" localSheetId="6" hidden="1">3</definedName>
    <definedName name="solver_ver" localSheetId="4" hidden="1">3</definedName>
    <definedName name="solver_ver" localSheetId="12" hidden="1">3</definedName>
    <definedName name="solver_ver" localSheetId="11" hidden="1">3</definedName>
    <definedName name="solver_ver" localSheetId="7" hidden="1">3</definedName>
    <definedName name="solver_ver" localSheetId="5" hidden="1">3</definedName>
    <definedName name="solver_ver" localSheetId="13" hidden="1">3</definedName>
    <definedName name="solver_ver" localSheetId="8" hidden="1">3</definedName>
    <definedName name="solver_ver" localSheetId="9" hidden="1">3</definedName>
    <definedName name="solver_ver" localSheetId="17" hidden="1">3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T105" i="24" l="1"/>
  <c r="T104" i="24"/>
  <c r="T103" i="24"/>
  <c r="T102" i="24"/>
  <c r="T101" i="24"/>
  <c r="T100" i="24"/>
  <c r="T99" i="24"/>
  <c r="T98" i="24"/>
  <c r="T97" i="24"/>
  <c r="T96" i="24"/>
  <c r="T95" i="24"/>
  <c r="T94" i="24"/>
  <c r="T93" i="24"/>
  <c r="T92" i="24"/>
  <c r="T91" i="24"/>
  <c r="T90" i="24"/>
  <c r="T89" i="24"/>
  <c r="T88" i="24"/>
  <c r="T87" i="24"/>
  <c r="T86" i="24"/>
  <c r="T85" i="24"/>
  <c r="T84" i="24"/>
  <c r="T83" i="24"/>
  <c r="T82" i="24"/>
  <c r="T81" i="24"/>
  <c r="T80" i="24"/>
  <c r="T79" i="24"/>
  <c r="T78" i="24"/>
  <c r="T77" i="24"/>
  <c r="T76" i="24"/>
  <c r="T75" i="24"/>
  <c r="T74" i="24"/>
  <c r="T73" i="24"/>
  <c r="T72" i="24"/>
  <c r="T71" i="24"/>
  <c r="T70" i="24"/>
  <c r="T69" i="24"/>
  <c r="T68" i="24"/>
  <c r="T67" i="24"/>
  <c r="T66" i="24"/>
  <c r="T65" i="24"/>
  <c r="T64" i="24"/>
  <c r="T63" i="24"/>
  <c r="T62" i="24"/>
  <c r="T61" i="24"/>
  <c r="T60" i="24"/>
  <c r="T59" i="24"/>
  <c r="T58" i="24"/>
  <c r="T57" i="24"/>
  <c r="T56" i="24"/>
  <c r="T55" i="24"/>
  <c r="T54" i="24"/>
  <c r="T53" i="24"/>
  <c r="T52" i="24"/>
  <c r="T51" i="24"/>
  <c r="T50" i="24"/>
  <c r="T49" i="24"/>
  <c r="T48" i="24"/>
  <c r="T47" i="24"/>
  <c r="T46" i="24"/>
  <c r="T45" i="24"/>
  <c r="T44" i="24"/>
  <c r="T43" i="24"/>
  <c r="T42" i="24"/>
  <c r="T41" i="24"/>
  <c r="T40" i="24"/>
  <c r="T39" i="24"/>
  <c r="T38" i="24"/>
  <c r="T37" i="24"/>
  <c r="T36" i="24"/>
  <c r="T35" i="24"/>
  <c r="T34" i="24"/>
  <c r="T33" i="24"/>
  <c r="T32" i="24"/>
  <c r="T31" i="24"/>
  <c r="T30" i="24"/>
  <c r="T29" i="24"/>
  <c r="T28" i="24"/>
  <c r="T27" i="24"/>
  <c r="T26" i="24"/>
  <c r="T25" i="24"/>
  <c r="T24" i="24"/>
  <c r="T23" i="24"/>
  <c r="T22" i="24"/>
  <c r="T21" i="24"/>
  <c r="T20" i="24"/>
  <c r="T19" i="24"/>
  <c r="T18" i="24"/>
  <c r="T17" i="24"/>
  <c r="T16" i="24"/>
  <c r="T15" i="24"/>
  <c r="T14" i="24"/>
  <c r="T13" i="24"/>
  <c r="T12" i="24"/>
  <c r="T11" i="24"/>
  <c r="T10" i="24"/>
  <c r="T9" i="24"/>
  <c r="T8" i="24"/>
  <c r="T7" i="24"/>
  <c r="T6" i="24"/>
  <c r="T5" i="24"/>
  <c r="T4" i="24"/>
  <c r="P12" i="24"/>
  <c r="P11" i="24"/>
  <c r="P10" i="24"/>
  <c r="P9" i="24"/>
  <c r="P8" i="24"/>
  <c r="P7" i="24"/>
  <c r="P6" i="24"/>
  <c r="P5" i="24"/>
  <c r="P4" i="24"/>
  <c r="P3" i="24"/>
  <c r="P2" i="24"/>
  <c r="B16" i="24"/>
  <c r="P12" i="19" l="1"/>
  <c r="P11" i="19"/>
  <c r="P10" i="19"/>
  <c r="P9" i="19"/>
  <c r="P8" i="19"/>
  <c r="P7" i="19"/>
  <c r="P6" i="19"/>
  <c r="P5" i="19"/>
  <c r="P4" i="19"/>
  <c r="P3" i="19"/>
  <c r="P2" i="19"/>
  <c r="P12" i="18"/>
  <c r="P11" i="18"/>
  <c r="P10" i="18"/>
  <c r="P9" i="18"/>
  <c r="P8" i="18"/>
  <c r="P7" i="18"/>
  <c r="P6" i="18"/>
  <c r="P5" i="18"/>
  <c r="P4" i="18"/>
  <c r="P3" i="18"/>
  <c r="P2" i="18"/>
  <c r="P12" i="16"/>
  <c r="P11" i="16"/>
  <c r="P10" i="16"/>
  <c r="P9" i="16"/>
  <c r="P8" i="16"/>
  <c r="P7" i="16"/>
  <c r="P6" i="16"/>
  <c r="P5" i="16"/>
  <c r="P4" i="16"/>
  <c r="P3" i="16"/>
  <c r="P2" i="16"/>
  <c r="P12" i="15"/>
  <c r="P11" i="15"/>
  <c r="P10" i="15"/>
  <c r="P9" i="15"/>
  <c r="P8" i="15"/>
  <c r="P7" i="15"/>
  <c r="P6" i="15"/>
  <c r="P5" i="15"/>
  <c r="P4" i="15"/>
  <c r="P3" i="15"/>
  <c r="P2" i="15"/>
  <c r="C13" i="25" l="1"/>
  <c r="C12" i="25"/>
  <c r="F26" i="1" l="1"/>
  <c r="A11" i="16"/>
  <c r="A10" i="16"/>
  <c r="A9" i="16"/>
  <c r="A8" i="16"/>
  <c r="A7" i="16"/>
  <c r="A6" i="16"/>
  <c r="A5" i="16"/>
  <c r="A4" i="16"/>
  <c r="A3" i="16"/>
  <c r="B16" i="17"/>
  <c r="P9" i="17" l="1"/>
  <c r="P5" i="17"/>
  <c r="P11" i="17"/>
  <c r="P3" i="17"/>
  <c r="P6" i="17"/>
  <c r="P12" i="17"/>
  <c r="P8" i="17"/>
  <c r="P4" i="17"/>
  <c r="P7" i="17"/>
  <c r="P10" i="17"/>
  <c r="P2" i="17"/>
  <c r="P26" i="1"/>
  <c r="Y16" i="27"/>
  <c r="X16" i="27"/>
  <c r="W16" i="27"/>
  <c r="V16" i="27"/>
  <c r="T16" i="27"/>
  <c r="S16" i="27"/>
  <c r="R16" i="27"/>
  <c r="N16" i="27"/>
  <c r="X51" i="1"/>
  <c r="W51" i="1"/>
  <c r="V51" i="1"/>
  <c r="U51" i="1"/>
  <c r="U16" i="27" s="1"/>
  <c r="S51" i="1"/>
  <c r="Q51" i="1"/>
  <c r="Q16" i="27" s="1"/>
  <c r="P51" i="1"/>
  <c r="P16" i="27" s="1"/>
  <c r="O51" i="1"/>
  <c r="O16" i="27" s="1"/>
  <c r="M51" i="1"/>
  <c r="M16" i="27" s="1"/>
  <c r="L51" i="1"/>
  <c r="L16" i="27" s="1"/>
  <c r="K51" i="1"/>
  <c r="K16" i="27" s="1"/>
  <c r="J51" i="1"/>
  <c r="J16" i="27" s="1"/>
  <c r="I51" i="1"/>
  <c r="I16" i="27" s="1"/>
  <c r="H51" i="1"/>
  <c r="H16" i="27" s="1"/>
  <c r="G51" i="1"/>
  <c r="G16" i="27" s="1"/>
  <c r="F51" i="1"/>
  <c r="F16" i="27" s="1"/>
  <c r="E51" i="1"/>
  <c r="E16" i="27" s="1"/>
  <c r="D51" i="1"/>
  <c r="D16" i="27" s="1"/>
  <c r="C51" i="1"/>
  <c r="C16" i="27" s="1"/>
  <c r="B51" i="1"/>
  <c r="B16" i="27" s="1"/>
  <c r="C1" i="6"/>
  <c r="A22" i="27" l="1"/>
  <c r="A21" i="27"/>
  <c r="A20" i="27"/>
  <c r="A19" i="27"/>
  <c r="Y1" i="27"/>
  <c r="X1" i="27"/>
  <c r="W1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A13" i="27"/>
  <c r="A12" i="27"/>
  <c r="A11" i="27"/>
  <c r="A10" i="27"/>
  <c r="A9" i="27"/>
  <c r="A8" i="27"/>
  <c r="A7" i="27"/>
  <c r="A6" i="27"/>
  <c r="A5" i="27"/>
  <c r="A4" i="27"/>
  <c r="A3" i="27"/>
  <c r="A2" i="27"/>
  <c r="D13" i="25"/>
  <c r="N13" i="27" s="1"/>
  <c r="D12" i="25"/>
  <c r="B12" i="27" s="1"/>
  <c r="D11" i="25"/>
  <c r="V11" i="27" s="1"/>
  <c r="D10" i="25"/>
  <c r="D9" i="25"/>
  <c r="B9" i="27" s="1"/>
  <c r="D8" i="25"/>
  <c r="D8" i="27" s="1"/>
  <c r="D7" i="25"/>
  <c r="D6" i="25"/>
  <c r="D5" i="25"/>
  <c r="D4" i="25"/>
  <c r="D3" i="25"/>
  <c r="F3" i="27" s="1"/>
  <c r="D2" i="25"/>
  <c r="A11" i="24"/>
  <c r="A10" i="24"/>
  <c r="A9" i="24"/>
  <c r="A8" i="24"/>
  <c r="A7" i="24"/>
  <c r="A6" i="24"/>
  <c r="A5" i="24"/>
  <c r="A4" i="24"/>
  <c r="A3" i="24"/>
  <c r="A11" i="19"/>
  <c r="A10" i="19"/>
  <c r="A9" i="19"/>
  <c r="A8" i="19"/>
  <c r="A7" i="19"/>
  <c r="A6" i="19"/>
  <c r="A5" i="19"/>
  <c r="A4" i="19"/>
  <c r="A3" i="19"/>
  <c r="A11" i="18"/>
  <c r="A10" i="18"/>
  <c r="A9" i="18"/>
  <c r="A8" i="18"/>
  <c r="A7" i="18"/>
  <c r="A6" i="18"/>
  <c r="A5" i="18"/>
  <c r="A4" i="18"/>
  <c r="A3" i="18"/>
  <c r="B16" i="14"/>
  <c r="B16" i="15"/>
  <c r="B16" i="16"/>
  <c r="S4" i="16"/>
  <c r="T4" i="16" s="1"/>
  <c r="S4" i="15"/>
  <c r="T4" i="15" s="1"/>
  <c r="U7" i="27" l="1"/>
  <c r="Q7" i="27"/>
  <c r="M7" i="27"/>
  <c r="I7" i="27"/>
  <c r="E7" i="27"/>
  <c r="W7" i="27"/>
  <c r="G7" i="27"/>
  <c r="X7" i="27"/>
  <c r="T7" i="27"/>
  <c r="P7" i="27"/>
  <c r="L7" i="27"/>
  <c r="H7" i="27"/>
  <c r="O7" i="27"/>
  <c r="C7" i="27"/>
  <c r="V7" i="27"/>
  <c r="R7" i="27"/>
  <c r="N7" i="27"/>
  <c r="J7" i="27"/>
  <c r="F7" i="27"/>
  <c r="B7" i="27"/>
  <c r="D7" i="27"/>
  <c r="S7" i="27"/>
  <c r="K7" i="27"/>
  <c r="P10" i="14"/>
  <c r="P6" i="14"/>
  <c r="P2" i="14"/>
  <c r="P4" i="14"/>
  <c r="P7" i="14"/>
  <c r="P9" i="14"/>
  <c r="P5" i="14"/>
  <c r="P12" i="14"/>
  <c r="P8" i="14"/>
  <c r="P11" i="14"/>
  <c r="P3" i="14"/>
  <c r="K4" i="27"/>
  <c r="J11" i="27"/>
  <c r="R11" i="27"/>
  <c r="J13" i="27"/>
  <c r="I8" i="27"/>
  <c r="Q8" i="27"/>
  <c r="Y8" i="27"/>
  <c r="N11" i="27"/>
  <c r="F12" i="27"/>
  <c r="N12" i="27"/>
  <c r="V12" i="27"/>
  <c r="D13" i="27"/>
  <c r="G8" i="27"/>
  <c r="O8" i="27"/>
  <c r="W8" i="27"/>
  <c r="D12" i="27"/>
  <c r="L12" i="27"/>
  <c r="T12" i="27"/>
  <c r="C12" i="27"/>
  <c r="K8" i="27"/>
  <c r="S8" i="27"/>
  <c r="P9" i="27"/>
  <c r="H12" i="27"/>
  <c r="P12" i="27"/>
  <c r="X12" i="27"/>
  <c r="E8" i="27"/>
  <c r="M8" i="27"/>
  <c r="U8" i="27"/>
  <c r="F11" i="27"/>
  <c r="J12" i="27"/>
  <c r="R12" i="27"/>
  <c r="C8" i="27"/>
  <c r="R13" i="27"/>
  <c r="T9" i="27"/>
  <c r="H9" i="27"/>
  <c r="X9" i="27"/>
  <c r="L9" i="27"/>
  <c r="Q4" i="27"/>
  <c r="W4" i="27"/>
  <c r="C4" i="27"/>
  <c r="G4" i="27"/>
  <c r="X3" i="27"/>
  <c r="P3" i="27"/>
  <c r="J3" i="27"/>
  <c r="I4" i="27"/>
  <c r="Y4" i="27"/>
  <c r="D4" i="27"/>
  <c r="S4" i="27"/>
  <c r="E4" i="27"/>
  <c r="M4" i="27"/>
  <c r="U4" i="27"/>
  <c r="O4" i="27"/>
  <c r="P5" i="27"/>
  <c r="B5" i="27"/>
  <c r="Q3" i="17"/>
  <c r="T5" i="27"/>
  <c r="V5" i="27"/>
  <c r="X5" i="27"/>
  <c r="D2" i="27"/>
  <c r="W2" i="27"/>
  <c r="S2" i="27"/>
  <c r="O2" i="27"/>
  <c r="K2" i="27"/>
  <c r="G2" i="27"/>
  <c r="C2" i="27"/>
  <c r="B2" i="27"/>
  <c r="Y2" i="27"/>
  <c r="U2" i="27"/>
  <c r="D6" i="27"/>
  <c r="X6" i="27"/>
  <c r="T6" i="27"/>
  <c r="P6" i="27"/>
  <c r="L6" i="27"/>
  <c r="V6" i="27"/>
  <c r="R6" i="27"/>
  <c r="J6" i="27"/>
  <c r="F6" i="27"/>
  <c r="D10" i="27"/>
  <c r="X10" i="27"/>
  <c r="T10" i="27"/>
  <c r="P10" i="27"/>
  <c r="L10" i="27"/>
  <c r="H10" i="27"/>
  <c r="C10" i="27"/>
  <c r="B10" i="27"/>
  <c r="V10" i="27"/>
  <c r="R10" i="27"/>
  <c r="N10" i="27"/>
  <c r="J10" i="27"/>
  <c r="F10" i="27"/>
  <c r="E2" i="27"/>
  <c r="J2" i="27"/>
  <c r="P2" i="27"/>
  <c r="V2" i="27"/>
  <c r="W6" i="27"/>
  <c r="K10" i="27"/>
  <c r="S10" i="27"/>
  <c r="C3" i="27"/>
  <c r="W3" i="27"/>
  <c r="S3" i="27"/>
  <c r="O3" i="27"/>
  <c r="K3" i="27"/>
  <c r="G3" i="27"/>
  <c r="B3" i="27"/>
  <c r="V3" i="27"/>
  <c r="R3" i="27"/>
  <c r="N3" i="27"/>
  <c r="Y3" i="27"/>
  <c r="U3" i="27"/>
  <c r="Q3" i="27"/>
  <c r="M3" i="27"/>
  <c r="I3" i="27"/>
  <c r="E3" i="27"/>
  <c r="Y7" i="27"/>
  <c r="D11" i="27"/>
  <c r="C11" i="27"/>
  <c r="W11" i="27"/>
  <c r="S11" i="27"/>
  <c r="O11" i="27"/>
  <c r="K11" i="27"/>
  <c r="G11" i="27"/>
  <c r="B11" i="27"/>
  <c r="Y11" i="27"/>
  <c r="U11" i="27"/>
  <c r="Q11" i="27"/>
  <c r="M11" i="27"/>
  <c r="I11" i="27"/>
  <c r="E11" i="27"/>
  <c r="F2" i="27"/>
  <c r="L2" i="27"/>
  <c r="Q2" i="27"/>
  <c r="X2" i="27"/>
  <c r="F5" i="27"/>
  <c r="N5" i="27"/>
  <c r="Q6" i="27"/>
  <c r="Y6" i="27"/>
  <c r="J9" i="27"/>
  <c r="R9" i="27"/>
  <c r="E10" i="27"/>
  <c r="M10" i="27"/>
  <c r="U10" i="27"/>
  <c r="H11" i="27"/>
  <c r="P11" i="27"/>
  <c r="X11" i="27"/>
  <c r="D3" i="27"/>
  <c r="L3" i="27"/>
  <c r="H2" i="27"/>
  <c r="M2" i="27"/>
  <c r="R2" i="27"/>
  <c r="K6" i="27"/>
  <c r="G10" i="27"/>
  <c r="O10" i="27"/>
  <c r="W10" i="27"/>
  <c r="D5" i="27"/>
  <c r="Y5" i="27"/>
  <c r="U5" i="27"/>
  <c r="Q5" i="27"/>
  <c r="M5" i="27"/>
  <c r="I5" i="27"/>
  <c r="E5" i="27"/>
  <c r="C5" i="27"/>
  <c r="W5" i="27"/>
  <c r="O5" i="27"/>
  <c r="K5" i="27"/>
  <c r="Y9" i="27"/>
  <c r="U9" i="27"/>
  <c r="Q9" i="27"/>
  <c r="M9" i="27"/>
  <c r="I9" i="27"/>
  <c r="E9" i="27"/>
  <c r="C9" i="27"/>
  <c r="W9" i="27"/>
  <c r="S9" i="27"/>
  <c r="O9" i="27"/>
  <c r="G9" i="27"/>
  <c r="Y13" i="27"/>
  <c r="U13" i="27"/>
  <c r="Q13" i="27"/>
  <c r="M13" i="27"/>
  <c r="I13" i="27"/>
  <c r="E13" i="27"/>
  <c r="X13" i="27"/>
  <c r="T13" i="27"/>
  <c r="P13" i="27"/>
  <c r="L13" i="27"/>
  <c r="H13" i="27"/>
  <c r="C13" i="27"/>
  <c r="W13" i="27"/>
  <c r="S13" i="27"/>
  <c r="O13" i="27"/>
  <c r="K13" i="27"/>
  <c r="G13" i="27"/>
  <c r="B13" i="27"/>
  <c r="I2" i="27"/>
  <c r="N2" i="27"/>
  <c r="T2" i="27"/>
  <c r="J5" i="27"/>
  <c r="R5" i="27"/>
  <c r="E6" i="27"/>
  <c r="U6" i="27"/>
  <c r="F9" i="27"/>
  <c r="N9" i="27"/>
  <c r="V9" i="27"/>
  <c r="I10" i="27"/>
  <c r="Q10" i="27"/>
  <c r="Y10" i="27"/>
  <c r="L11" i="27"/>
  <c r="T11" i="27"/>
  <c r="H3" i="27"/>
  <c r="T3" i="27"/>
  <c r="F13" i="27"/>
  <c r="V13" i="27"/>
  <c r="H4" i="27"/>
  <c r="L4" i="27"/>
  <c r="P4" i="27"/>
  <c r="T4" i="27"/>
  <c r="X4" i="27"/>
  <c r="H8" i="27"/>
  <c r="L8" i="27"/>
  <c r="P8" i="27"/>
  <c r="T8" i="27"/>
  <c r="X8" i="27"/>
  <c r="G12" i="27"/>
  <c r="K12" i="27"/>
  <c r="O12" i="27"/>
  <c r="S12" i="27"/>
  <c r="W12" i="27"/>
  <c r="F4" i="27"/>
  <c r="J4" i="27"/>
  <c r="N4" i="27"/>
  <c r="R4" i="27"/>
  <c r="V4" i="27"/>
  <c r="F8" i="27"/>
  <c r="J8" i="27"/>
  <c r="N8" i="27"/>
  <c r="R8" i="27"/>
  <c r="V8" i="27"/>
  <c r="E12" i="27"/>
  <c r="I12" i="27"/>
  <c r="M12" i="27"/>
  <c r="Q12" i="27"/>
  <c r="U12" i="27"/>
  <c r="Y12" i="27"/>
  <c r="B4" i="27"/>
  <c r="B8" i="27"/>
  <c r="S4" i="24"/>
  <c r="B16" i="19"/>
  <c r="S4" i="19"/>
  <c r="S4" i="18"/>
  <c r="T4" i="18" s="1"/>
  <c r="B16" i="18"/>
  <c r="C6" i="27" s="1"/>
  <c r="Q4" i="17"/>
  <c r="Q12" i="17"/>
  <c r="S4" i="17"/>
  <c r="S5" i="17" s="1"/>
  <c r="S6" i="17" s="1"/>
  <c r="S7" i="17" s="1"/>
  <c r="S8" i="17" s="1"/>
  <c r="S9" i="17" s="1"/>
  <c r="S10" i="17" s="1"/>
  <c r="S11" i="17" s="1"/>
  <c r="S12" i="17" s="1"/>
  <c r="S13" i="17" s="1"/>
  <c r="S14" i="17" s="1"/>
  <c r="Q8" i="15"/>
  <c r="Q9" i="15"/>
  <c r="Q2" i="15"/>
  <c r="Q6" i="15"/>
  <c r="Q10" i="15"/>
  <c r="Q4" i="15"/>
  <c r="Q12" i="15"/>
  <c r="Q5" i="15"/>
  <c r="Q3" i="15"/>
  <c r="Q7" i="15"/>
  <c r="Q11" i="15"/>
  <c r="Q8" i="16"/>
  <c r="Q3" i="16"/>
  <c r="Q4" i="16"/>
  <c r="Q12" i="16"/>
  <c r="Q11" i="16"/>
  <c r="Q7" i="16"/>
  <c r="Q5" i="16"/>
  <c r="Q9" i="16"/>
  <c r="Q2" i="16"/>
  <c r="Q6" i="16"/>
  <c r="Q10" i="16"/>
  <c r="S5" i="16"/>
  <c r="T5" i="16" s="1"/>
  <c r="S5" i="15"/>
  <c r="T5" i="15" s="1"/>
  <c r="I6" i="27" l="1"/>
  <c r="H6" i="27"/>
  <c r="S5" i="18"/>
  <c r="T5" i="18" s="1"/>
  <c r="S6" i="27"/>
  <c r="O6" i="27"/>
  <c r="O15" i="27" s="1"/>
  <c r="B6" i="27"/>
  <c r="B15" i="27" s="1"/>
  <c r="M6" i="27"/>
  <c r="M15" i="27" s="1"/>
  <c r="G6" i="27"/>
  <c r="N6" i="27"/>
  <c r="N15" i="27" s="1"/>
  <c r="Q15" i="27"/>
  <c r="E15" i="27"/>
  <c r="U15" i="27"/>
  <c r="R15" i="27"/>
  <c r="J15" i="27"/>
  <c r="Q7" i="17"/>
  <c r="Q8" i="17"/>
  <c r="Q6" i="17"/>
  <c r="T14" i="17"/>
  <c r="T9" i="17"/>
  <c r="S15" i="17"/>
  <c r="T15" i="17" s="1"/>
  <c r="T11" i="17"/>
  <c r="T12" i="17"/>
  <c r="T5" i="17"/>
  <c r="T6" i="17"/>
  <c r="T7" i="17"/>
  <c r="T10" i="17"/>
  <c r="T4" i="17"/>
  <c r="W15" i="27"/>
  <c r="I15" i="27"/>
  <c r="Y15" i="27"/>
  <c r="V15" i="27"/>
  <c r="Q11" i="17"/>
  <c r="T13" i="17"/>
  <c r="T8" i="17"/>
  <c r="Q5" i="17"/>
  <c r="Q9" i="17"/>
  <c r="Q10" i="17"/>
  <c r="S5" i="27"/>
  <c r="H5" i="27"/>
  <c r="Q2" i="17"/>
  <c r="G5" i="27"/>
  <c r="L5" i="27"/>
  <c r="L15" i="27" s="1"/>
  <c r="F15" i="27"/>
  <c r="X15" i="27"/>
  <c r="T15" i="27"/>
  <c r="P15" i="27"/>
  <c r="C15" i="27"/>
  <c r="Q2" i="24"/>
  <c r="Q12" i="24"/>
  <c r="Q8" i="24"/>
  <c r="Q3" i="24"/>
  <c r="Q4" i="24"/>
  <c r="Q9" i="24"/>
  <c r="Q11" i="24"/>
  <c r="S5" i="24"/>
  <c r="Q7" i="24"/>
  <c r="Q10" i="24"/>
  <c r="Q6" i="24"/>
  <c r="Q5" i="24"/>
  <c r="Q2" i="19"/>
  <c r="Q12" i="19"/>
  <c r="Q8" i="19"/>
  <c r="Q4" i="19"/>
  <c r="Q10" i="19"/>
  <c r="Q3" i="19"/>
  <c r="S5" i="19"/>
  <c r="T4" i="19"/>
  <c r="Q6" i="19"/>
  <c r="Q7" i="19"/>
  <c r="Q9" i="19"/>
  <c r="Q11" i="19"/>
  <c r="Q5" i="19"/>
  <c r="Q10" i="18"/>
  <c r="Q6" i="18"/>
  <c r="Q12" i="18"/>
  <c r="Q2" i="18"/>
  <c r="Q3" i="18"/>
  <c r="Q11" i="18"/>
  <c r="Q8" i="18"/>
  <c r="S6" i="18"/>
  <c r="Q5" i="18"/>
  <c r="Q9" i="18"/>
  <c r="Q7" i="18"/>
  <c r="Q4" i="18"/>
  <c r="Q14" i="16"/>
  <c r="S6" i="16"/>
  <c r="T6" i="16" s="1"/>
  <c r="Q14" i="15"/>
  <c r="S6" i="15"/>
  <c r="T6" i="15" s="1"/>
  <c r="H15" i="27" l="1"/>
  <c r="G15" i="27"/>
  <c r="S15" i="27"/>
  <c r="S16" i="17"/>
  <c r="S17" i="17" s="1"/>
  <c r="Q14" i="17"/>
  <c r="S6" i="24"/>
  <c r="Q14" i="24"/>
  <c r="S6" i="19"/>
  <c r="T5" i="19"/>
  <c r="Q14" i="19"/>
  <c r="S7" i="18"/>
  <c r="T6" i="18"/>
  <c r="Q14" i="18"/>
  <c r="S7" i="16"/>
  <c r="T7" i="16" s="1"/>
  <c r="S7" i="15"/>
  <c r="T7" i="15" s="1"/>
  <c r="T16" i="17" l="1"/>
  <c r="S7" i="24"/>
  <c r="T6" i="19"/>
  <c r="S7" i="19"/>
  <c r="T7" i="18"/>
  <c r="S8" i="18"/>
  <c r="S18" i="17"/>
  <c r="T17" i="17"/>
  <c r="S8" i="16"/>
  <c r="T8" i="16" s="1"/>
  <c r="S8" i="15"/>
  <c r="T8" i="15" s="1"/>
  <c r="S8" i="24" l="1"/>
  <c r="S8" i="19"/>
  <c r="T7" i="19"/>
  <c r="T8" i="18"/>
  <c r="S9" i="18"/>
  <c r="S19" i="17"/>
  <c r="T18" i="17"/>
  <c r="S9" i="16"/>
  <c r="T9" i="16" s="1"/>
  <c r="S9" i="15"/>
  <c r="T9" i="15" s="1"/>
  <c r="S9" i="24" l="1"/>
  <c r="S9" i="19"/>
  <c r="T8" i="19"/>
  <c r="S10" i="18"/>
  <c r="T9" i="18"/>
  <c r="S20" i="17"/>
  <c r="T19" i="17"/>
  <c r="S10" i="16"/>
  <c r="T10" i="16" s="1"/>
  <c r="S10" i="15"/>
  <c r="T10" i="15" s="1"/>
  <c r="S10" i="24" l="1"/>
  <c r="T9" i="19"/>
  <c r="S10" i="19"/>
  <c r="S11" i="18"/>
  <c r="T10" i="18"/>
  <c r="S21" i="17"/>
  <c r="T20" i="17"/>
  <c r="S11" i="16"/>
  <c r="T11" i="16" s="1"/>
  <c r="S11" i="15"/>
  <c r="T11" i="15" s="1"/>
  <c r="S11" i="24" l="1"/>
  <c r="S11" i="19"/>
  <c r="T10" i="19"/>
  <c r="S12" i="18"/>
  <c r="T11" i="18"/>
  <c r="T21" i="17"/>
  <c r="S22" i="17"/>
  <c r="S12" i="16"/>
  <c r="T12" i="16" s="1"/>
  <c r="S12" i="15"/>
  <c r="T12" i="15" s="1"/>
  <c r="S12" i="24" l="1"/>
  <c r="T11" i="19"/>
  <c r="S12" i="19"/>
  <c r="S13" i="18"/>
  <c r="T12" i="18"/>
  <c r="S23" i="17"/>
  <c r="T22" i="17"/>
  <c r="S13" i="16"/>
  <c r="T13" i="16" s="1"/>
  <c r="S13" i="15"/>
  <c r="T13" i="15" s="1"/>
  <c r="S13" i="24" l="1"/>
  <c r="T12" i="19"/>
  <c r="S13" i="19"/>
  <c r="T13" i="18"/>
  <c r="S14" i="18"/>
  <c r="S24" i="17"/>
  <c r="T23" i="17"/>
  <c r="S14" i="16"/>
  <c r="T14" i="16" s="1"/>
  <c r="S14" i="15"/>
  <c r="T14" i="15" s="1"/>
  <c r="S14" i="24" l="1"/>
  <c r="S14" i="19"/>
  <c r="T13" i="19"/>
  <c r="S15" i="18"/>
  <c r="T14" i="18"/>
  <c r="S25" i="17"/>
  <c r="T24" i="17"/>
  <c r="S15" i="16"/>
  <c r="T15" i="16" s="1"/>
  <c r="S15" i="15"/>
  <c r="T15" i="15" s="1"/>
  <c r="S15" i="24" l="1"/>
  <c r="T14" i="19"/>
  <c r="S15" i="19"/>
  <c r="T15" i="18"/>
  <c r="S16" i="18"/>
  <c r="S26" i="17"/>
  <c r="T25" i="17"/>
  <c r="S16" i="16"/>
  <c r="T16" i="16" s="1"/>
  <c r="S16" i="15"/>
  <c r="T16" i="15" s="1"/>
  <c r="S16" i="24" l="1"/>
  <c r="S16" i="19"/>
  <c r="T15" i="19"/>
  <c r="S17" i="18"/>
  <c r="T16" i="18"/>
  <c r="S27" i="17"/>
  <c r="T26" i="17"/>
  <c r="S17" i="16"/>
  <c r="T17" i="16" s="1"/>
  <c r="S17" i="15"/>
  <c r="T17" i="15" s="1"/>
  <c r="S17" i="24" l="1"/>
  <c r="S17" i="19"/>
  <c r="T16" i="19"/>
  <c r="T17" i="18"/>
  <c r="S18" i="18"/>
  <c r="S28" i="17"/>
  <c r="T27" i="17"/>
  <c r="S18" i="16"/>
  <c r="T18" i="16" s="1"/>
  <c r="S18" i="15"/>
  <c r="T18" i="15" s="1"/>
  <c r="S18" i="24" l="1"/>
  <c r="T17" i="19"/>
  <c r="S18" i="19"/>
  <c r="S19" i="18"/>
  <c r="T18" i="18"/>
  <c r="S29" i="17"/>
  <c r="T28" i="17"/>
  <c r="S19" i="16"/>
  <c r="T19" i="16" s="1"/>
  <c r="S19" i="15"/>
  <c r="T19" i="15" s="1"/>
  <c r="S19" i="24" l="1"/>
  <c r="S19" i="19"/>
  <c r="T18" i="19"/>
  <c r="S20" i="18"/>
  <c r="T19" i="18"/>
  <c r="T29" i="17"/>
  <c r="S30" i="17"/>
  <c r="S20" i="16"/>
  <c r="T20" i="16" s="1"/>
  <c r="S20" i="15"/>
  <c r="T20" i="15" s="1"/>
  <c r="S20" i="24" l="1"/>
  <c r="T19" i="19"/>
  <c r="S20" i="19"/>
  <c r="S21" i="18"/>
  <c r="T20" i="18"/>
  <c r="S31" i="17"/>
  <c r="T30" i="17"/>
  <c r="S21" i="16"/>
  <c r="T21" i="16" s="1"/>
  <c r="S21" i="15"/>
  <c r="T21" i="15" s="1"/>
  <c r="S21" i="24" l="1"/>
  <c r="S21" i="19"/>
  <c r="T20" i="19"/>
  <c r="S22" i="18"/>
  <c r="T21" i="18"/>
  <c r="S32" i="17"/>
  <c r="T31" i="17"/>
  <c r="S22" i="16"/>
  <c r="T22" i="16" s="1"/>
  <c r="S22" i="15"/>
  <c r="T22" i="15" s="1"/>
  <c r="S22" i="24" l="1"/>
  <c r="T21" i="19"/>
  <c r="S22" i="19"/>
  <c r="S23" i="18"/>
  <c r="T22" i="18"/>
  <c r="S33" i="17"/>
  <c r="T32" i="17"/>
  <c r="S23" i="16"/>
  <c r="T23" i="16" s="1"/>
  <c r="S23" i="15"/>
  <c r="T23" i="15" s="1"/>
  <c r="S23" i="24" l="1"/>
  <c r="S23" i="19"/>
  <c r="T22" i="19"/>
  <c r="S24" i="18"/>
  <c r="T23" i="18"/>
  <c r="S34" i="17"/>
  <c r="T33" i="17"/>
  <c r="S24" i="16"/>
  <c r="T24" i="16" s="1"/>
  <c r="S24" i="15"/>
  <c r="T24" i="15" s="1"/>
  <c r="S24" i="24" l="1"/>
  <c r="T23" i="19"/>
  <c r="S24" i="19"/>
  <c r="S25" i="18"/>
  <c r="T24" i="18"/>
  <c r="S35" i="17"/>
  <c r="T34" i="17"/>
  <c r="S25" i="16"/>
  <c r="T25" i="16" s="1"/>
  <c r="S25" i="15"/>
  <c r="T25" i="15" s="1"/>
  <c r="S25" i="24" l="1"/>
  <c r="S25" i="19"/>
  <c r="T24" i="19"/>
  <c r="T25" i="18"/>
  <c r="S26" i="18"/>
  <c r="S36" i="17"/>
  <c r="T35" i="17"/>
  <c r="S26" i="16"/>
  <c r="T26" i="16" s="1"/>
  <c r="S26" i="15"/>
  <c r="T26" i="15" s="1"/>
  <c r="S26" i="24" l="1"/>
  <c r="T25" i="19"/>
  <c r="S26" i="19"/>
  <c r="S27" i="18"/>
  <c r="T26" i="18"/>
  <c r="S37" i="17"/>
  <c r="T36" i="17"/>
  <c r="S27" i="16"/>
  <c r="T27" i="16" s="1"/>
  <c r="S27" i="15"/>
  <c r="T27" i="15" s="1"/>
  <c r="S27" i="24" l="1"/>
  <c r="S27" i="19"/>
  <c r="T26" i="19"/>
  <c r="S28" i="18"/>
  <c r="T27" i="18"/>
  <c r="T37" i="17"/>
  <c r="S38" i="17"/>
  <c r="S28" i="16"/>
  <c r="T28" i="16" s="1"/>
  <c r="S28" i="15"/>
  <c r="T28" i="15" s="1"/>
  <c r="S28" i="24" l="1"/>
  <c r="T27" i="19"/>
  <c r="S28" i="19"/>
  <c r="S29" i="18"/>
  <c r="T28" i="18"/>
  <c r="S39" i="17"/>
  <c r="T38" i="17"/>
  <c r="S29" i="16"/>
  <c r="T29" i="16" s="1"/>
  <c r="S29" i="15"/>
  <c r="T29" i="15" s="1"/>
  <c r="S29" i="24" l="1"/>
  <c r="S29" i="19"/>
  <c r="T28" i="19"/>
  <c r="S30" i="18"/>
  <c r="T29" i="18"/>
  <c r="S40" i="17"/>
  <c r="T39" i="17"/>
  <c r="S30" i="16"/>
  <c r="T30" i="16" s="1"/>
  <c r="S30" i="15"/>
  <c r="T30" i="15" s="1"/>
  <c r="S30" i="24" l="1"/>
  <c r="T29" i="19"/>
  <c r="S30" i="19"/>
  <c r="S31" i="18"/>
  <c r="T30" i="18"/>
  <c r="S41" i="17"/>
  <c r="T40" i="17"/>
  <c r="S31" i="16"/>
  <c r="T31" i="16" s="1"/>
  <c r="S31" i="15"/>
  <c r="T31" i="15" s="1"/>
  <c r="S31" i="24" l="1"/>
  <c r="S31" i="19"/>
  <c r="T30" i="19"/>
  <c r="S32" i="18"/>
  <c r="T31" i="18"/>
  <c r="S42" i="17"/>
  <c r="T41" i="17"/>
  <c r="S32" i="16"/>
  <c r="T32" i="16" s="1"/>
  <c r="S32" i="15"/>
  <c r="T32" i="15" s="1"/>
  <c r="S32" i="24" l="1"/>
  <c r="T31" i="19"/>
  <c r="S32" i="19"/>
  <c r="S33" i="18"/>
  <c r="T32" i="18"/>
  <c r="S43" i="17"/>
  <c r="T42" i="17"/>
  <c r="S33" i="16"/>
  <c r="T33" i="16" s="1"/>
  <c r="S33" i="15"/>
  <c r="T33" i="15" s="1"/>
  <c r="S33" i="24" l="1"/>
  <c r="S33" i="19"/>
  <c r="T32" i="19"/>
  <c r="T33" i="18"/>
  <c r="S34" i="18"/>
  <c r="S44" i="17"/>
  <c r="T43" i="17"/>
  <c r="S34" i="16"/>
  <c r="T34" i="16" s="1"/>
  <c r="S34" i="15"/>
  <c r="T34" i="15" s="1"/>
  <c r="S34" i="24" l="1"/>
  <c r="T33" i="19"/>
  <c r="S34" i="19"/>
  <c r="S35" i="18"/>
  <c r="T34" i="18"/>
  <c r="S45" i="17"/>
  <c r="T44" i="17"/>
  <c r="S35" i="16"/>
  <c r="T35" i="16" s="1"/>
  <c r="S35" i="15"/>
  <c r="T35" i="15" s="1"/>
  <c r="S35" i="24" l="1"/>
  <c r="S35" i="19"/>
  <c r="T34" i="19"/>
  <c r="S36" i="18"/>
  <c r="T35" i="18"/>
  <c r="T45" i="17"/>
  <c r="S46" i="17"/>
  <c r="S36" i="16"/>
  <c r="T36" i="16" s="1"/>
  <c r="S36" i="15"/>
  <c r="T36" i="15" s="1"/>
  <c r="S36" i="24" l="1"/>
  <c r="T35" i="19"/>
  <c r="S36" i="19"/>
  <c r="S37" i="18"/>
  <c r="T36" i="18"/>
  <c r="S47" i="17"/>
  <c r="T46" i="17"/>
  <c r="S37" i="16"/>
  <c r="T37" i="16" s="1"/>
  <c r="S37" i="15"/>
  <c r="T37" i="15" s="1"/>
  <c r="S37" i="24" l="1"/>
  <c r="S37" i="19"/>
  <c r="T36" i="19"/>
  <c r="T37" i="18"/>
  <c r="S38" i="18"/>
  <c r="S48" i="17"/>
  <c r="T47" i="17"/>
  <c r="S38" i="16"/>
  <c r="T38" i="16" s="1"/>
  <c r="S38" i="15"/>
  <c r="T38" i="15" s="1"/>
  <c r="S38" i="24" l="1"/>
  <c r="T37" i="19"/>
  <c r="S38" i="19"/>
  <c r="S39" i="18"/>
  <c r="T38" i="18"/>
  <c r="S49" i="17"/>
  <c r="T48" i="17"/>
  <c r="S39" i="16"/>
  <c r="T39" i="16" s="1"/>
  <c r="S39" i="15"/>
  <c r="T39" i="15" s="1"/>
  <c r="S39" i="24" l="1"/>
  <c r="S39" i="19"/>
  <c r="T38" i="19"/>
  <c r="T39" i="18"/>
  <c r="S40" i="18"/>
  <c r="S50" i="17"/>
  <c r="T49" i="17"/>
  <c r="S40" i="16"/>
  <c r="T40" i="16" s="1"/>
  <c r="S40" i="15"/>
  <c r="T40" i="15" s="1"/>
  <c r="S40" i="24" l="1"/>
  <c r="T39" i="19"/>
  <c r="S40" i="19"/>
  <c r="S41" i="18"/>
  <c r="T40" i="18"/>
  <c r="S51" i="17"/>
  <c r="T50" i="17"/>
  <c r="S41" i="16"/>
  <c r="T41" i="16" s="1"/>
  <c r="S41" i="15"/>
  <c r="T41" i="15" s="1"/>
  <c r="S41" i="24" l="1"/>
  <c r="S41" i="19"/>
  <c r="T40" i="19"/>
  <c r="T41" i="18"/>
  <c r="S42" i="18"/>
  <c r="S52" i="17"/>
  <c r="T51" i="17"/>
  <c r="S42" i="16"/>
  <c r="T42" i="16" s="1"/>
  <c r="S42" i="15"/>
  <c r="T42" i="15" s="1"/>
  <c r="S42" i="24" l="1"/>
  <c r="T41" i="19"/>
  <c r="S42" i="19"/>
  <c r="S43" i="18"/>
  <c r="T42" i="18"/>
  <c r="S53" i="17"/>
  <c r="T52" i="17"/>
  <c r="S43" i="16"/>
  <c r="T43" i="16" s="1"/>
  <c r="S43" i="15"/>
  <c r="T43" i="15" s="1"/>
  <c r="S43" i="24" l="1"/>
  <c r="S43" i="19"/>
  <c r="T42" i="19"/>
  <c r="S44" i="18"/>
  <c r="T43" i="18"/>
  <c r="S54" i="17"/>
  <c r="T53" i="17"/>
  <c r="S44" i="16"/>
  <c r="T44" i="16" s="1"/>
  <c r="S44" i="15"/>
  <c r="T44" i="15" s="1"/>
  <c r="S44" i="24" l="1"/>
  <c r="T43" i="19"/>
  <c r="S44" i="19"/>
  <c r="S45" i="18"/>
  <c r="T44" i="18"/>
  <c r="S55" i="17"/>
  <c r="T54" i="17"/>
  <c r="S45" i="16"/>
  <c r="T45" i="16" s="1"/>
  <c r="S45" i="15"/>
  <c r="T45" i="15" s="1"/>
  <c r="S45" i="24" l="1"/>
  <c r="S45" i="19"/>
  <c r="T44" i="19"/>
  <c r="S46" i="18"/>
  <c r="T45" i="18"/>
  <c r="S56" i="17"/>
  <c r="T55" i="17"/>
  <c r="S46" i="16"/>
  <c r="T46" i="16" s="1"/>
  <c r="S46" i="15"/>
  <c r="T46" i="15" s="1"/>
  <c r="S46" i="24" l="1"/>
  <c r="T45" i="19"/>
  <c r="S46" i="19"/>
  <c r="S47" i="18"/>
  <c r="T46" i="18"/>
  <c r="S57" i="17"/>
  <c r="T56" i="17"/>
  <c r="S47" i="16"/>
  <c r="T47" i="16" s="1"/>
  <c r="S47" i="15"/>
  <c r="T47" i="15" s="1"/>
  <c r="S47" i="24" l="1"/>
  <c r="S47" i="19"/>
  <c r="T46" i="19"/>
  <c r="S48" i="18"/>
  <c r="T47" i="18"/>
  <c r="S58" i="17"/>
  <c r="T57" i="17"/>
  <c r="S48" i="16"/>
  <c r="T48" i="16" s="1"/>
  <c r="S48" i="15"/>
  <c r="T48" i="15" s="1"/>
  <c r="S48" i="24" l="1"/>
  <c r="T47" i="19"/>
  <c r="S48" i="19"/>
  <c r="S49" i="18"/>
  <c r="T48" i="18"/>
  <c r="S59" i="17"/>
  <c r="T58" i="17"/>
  <c r="S49" i="16"/>
  <c r="T49" i="16" s="1"/>
  <c r="S49" i="15"/>
  <c r="T49" i="15" s="1"/>
  <c r="S49" i="24" l="1"/>
  <c r="S49" i="19"/>
  <c r="T48" i="19"/>
  <c r="T49" i="18"/>
  <c r="S50" i="18"/>
  <c r="S60" i="17"/>
  <c r="T59" i="17"/>
  <c r="S50" i="16"/>
  <c r="T50" i="16" s="1"/>
  <c r="S50" i="15"/>
  <c r="T50" i="15" s="1"/>
  <c r="S50" i="24" l="1"/>
  <c r="T49" i="19"/>
  <c r="S50" i="19"/>
  <c r="S51" i="18"/>
  <c r="T50" i="18"/>
  <c r="S61" i="17"/>
  <c r="T60" i="17"/>
  <c r="S51" i="16"/>
  <c r="T51" i="16" s="1"/>
  <c r="S51" i="15"/>
  <c r="T51" i="15" s="1"/>
  <c r="S51" i="24" l="1"/>
  <c r="S51" i="19"/>
  <c r="T50" i="19"/>
  <c r="S52" i="18"/>
  <c r="T51" i="18"/>
  <c r="S62" i="17"/>
  <c r="T61" i="17"/>
  <c r="S52" i="16"/>
  <c r="T52" i="16" s="1"/>
  <c r="S52" i="15"/>
  <c r="T52" i="15" s="1"/>
  <c r="S52" i="24" l="1"/>
  <c r="T51" i="19"/>
  <c r="S52" i="19"/>
  <c r="S53" i="18"/>
  <c r="T52" i="18"/>
  <c r="S63" i="17"/>
  <c r="T62" i="17"/>
  <c r="S53" i="16"/>
  <c r="T53" i="16" s="1"/>
  <c r="S53" i="15"/>
  <c r="T53" i="15" s="1"/>
  <c r="S53" i="24" l="1"/>
  <c r="S53" i="19"/>
  <c r="T52" i="19"/>
  <c r="T53" i="18"/>
  <c r="S54" i="18"/>
  <c r="S64" i="17"/>
  <c r="T63" i="17"/>
  <c r="S54" i="16"/>
  <c r="T54" i="16" s="1"/>
  <c r="S54" i="15"/>
  <c r="T54" i="15" s="1"/>
  <c r="S54" i="24" l="1"/>
  <c r="T53" i="19"/>
  <c r="S54" i="19"/>
  <c r="S55" i="18"/>
  <c r="T54" i="18"/>
  <c r="S65" i="17"/>
  <c r="T64" i="17"/>
  <c r="S55" i="16"/>
  <c r="T55" i="16" s="1"/>
  <c r="S55" i="15"/>
  <c r="T55" i="15" s="1"/>
  <c r="S55" i="24" l="1"/>
  <c r="S55" i="19"/>
  <c r="T54" i="19"/>
  <c r="T55" i="18"/>
  <c r="S56" i="18"/>
  <c r="S66" i="17"/>
  <c r="T65" i="17"/>
  <c r="S56" i="16"/>
  <c r="T56" i="16" s="1"/>
  <c r="S56" i="15"/>
  <c r="T56" i="15" s="1"/>
  <c r="S56" i="24" l="1"/>
  <c r="T55" i="19"/>
  <c r="S56" i="19"/>
  <c r="S57" i="18"/>
  <c r="T56" i="18"/>
  <c r="S67" i="17"/>
  <c r="T66" i="17"/>
  <c r="S57" i="16"/>
  <c r="T57" i="16" s="1"/>
  <c r="S57" i="15"/>
  <c r="T57" i="15" s="1"/>
  <c r="S57" i="24" l="1"/>
  <c r="S57" i="19"/>
  <c r="T56" i="19"/>
  <c r="T57" i="18"/>
  <c r="S58" i="18"/>
  <c r="S68" i="17"/>
  <c r="T67" i="17"/>
  <c r="S58" i="16"/>
  <c r="T58" i="16" s="1"/>
  <c r="S58" i="15"/>
  <c r="T58" i="15" s="1"/>
  <c r="S58" i="24" l="1"/>
  <c r="T57" i="19"/>
  <c r="S58" i="19"/>
  <c r="S59" i="18"/>
  <c r="T58" i="18"/>
  <c r="S69" i="17"/>
  <c r="T68" i="17"/>
  <c r="S59" i="16"/>
  <c r="T59" i="16" s="1"/>
  <c r="S59" i="15"/>
  <c r="T59" i="15" s="1"/>
  <c r="S59" i="24" l="1"/>
  <c r="S59" i="19"/>
  <c r="T58" i="19"/>
  <c r="S60" i="18"/>
  <c r="T59" i="18"/>
  <c r="S70" i="17"/>
  <c r="T69" i="17"/>
  <c r="S60" i="16"/>
  <c r="T60" i="16" s="1"/>
  <c r="S60" i="15"/>
  <c r="T60" i="15" s="1"/>
  <c r="S60" i="24" l="1"/>
  <c r="T59" i="19"/>
  <c r="S60" i="19"/>
  <c r="S61" i="18"/>
  <c r="T60" i="18"/>
  <c r="S71" i="17"/>
  <c r="T70" i="17"/>
  <c r="S61" i="16"/>
  <c r="T61" i="16" s="1"/>
  <c r="S61" i="15"/>
  <c r="T61" i="15" s="1"/>
  <c r="S61" i="24" l="1"/>
  <c r="S61" i="19"/>
  <c r="T60" i="19"/>
  <c r="T61" i="18"/>
  <c r="S62" i="18"/>
  <c r="S72" i="17"/>
  <c r="T71" i="17"/>
  <c r="S62" i="16"/>
  <c r="T62" i="16" s="1"/>
  <c r="S62" i="15"/>
  <c r="T62" i="15" s="1"/>
  <c r="S62" i="24" l="1"/>
  <c r="T61" i="19"/>
  <c r="S62" i="19"/>
  <c r="S63" i="18"/>
  <c r="T62" i="18"/>
  <c r="S73" i="17"/>
  <c r="T72" i="17"/>
  <c r="S63" i="16"/>
  <c r="T63" i="16" s="1"/>
  <c r="S63" i="15"/>
  <c r="T63" i="15" s="1"/>
  <c r="S63" i="24" l="1"/>
  <c r="S63" i="19"/>
  <c r="T62" i="19"/>
  <c r="T63" i="18"/>
  <c r="S64" i="18"/>
  <c r="S74" i="17"/>
  <c r="T73" i="17"/>
  <c r="S64" i="16"/>
  <c r="T64" i="16" s="1"/>
  <c r="S64" i="15"/>
  <c r="T64" i="15" s="1"/>
  <c r="S64" i="24" l="1"/>
  <c r="T63" i="19"/>
  <c r="S64" i="19"/>
  <c r="S65" i="18"/>
  <c r="T64" i="18"/>
  <c r="S75" i="17"/>
  <c r="T74" i="17"/>
  <c r="S65" i="16"/>
  <c r="T65" i="16" s="1"/>
  <c r="S65" i="15"/>
  <c r="T65" i="15" s="1"/>
  <c r="S65" i="24" l="1"/>
  <c r="S65" i="19"/>
  <c r="T64" i="19"/>
  <c r="T65" i="18"/>
  <c r="S66" i="18"/>
  <c r="S76" i="17"/>
  <c r="T75" i="17"/>
  <c r="S66" i="16"/>
  <c r="T66" i="16" s="1"/>
  <c r="S66" i="15"/>
  <c r="T66" i="15" s="1"/>
  <c r="S66" i="24" l="1"/>
  <c r="T65" i="19"/>
  <c r="S66" i="19"/>
  <c r="S67" i="18"/>
  <c r="T66" i="18"/>
  <c r="S77" i="17"/>
  <c r="T76" i="17"/>
  <c r="S67" i="16"/>
  <c r="T67" i="16" s="1"/>
  <c r="S67" i="15"/>
  <c r="T67" i="15" s="1"/>
  <c r="S67" i="24" l="1"/>
  <c r="S67" i="19"/>
  <c r="T66" i="19"/>
  <c r="S68" i="18"/>
  <c r="T67" i="18"/>
  <c r="S78" i="17"/>
  <c r="T77" i="17"/>
  <c r="S68" i="16"/>
  <c r="T68" i="16" s="1"/>
  <c r="S68" i="15"/>
  <c r="T68" i="15" s="1"/>
  <c r="S68" i="24" l="1"/>
  <c r="T67" i="19"/>
  <c r="S68" i="19"/>
  <c r="S69" i="18"/>
  <c r="T68" i="18"/>
  <c r="S79" i="17"/>
  <c r="T78" i="17"/>
  <c r="S69" i="16"/>
  <c r="T69" i="16" s="1"/>
  <c r="S69" i="15"/>
  <c r="T69" i="15" s="1"/>
  <c r="S69" i="24" l="1"/>
  <c r="S69" i="19"/>
  <c r="T68" i="19"/>
  <c r="T69" i="18"/>
  <c r="S70" i="18"/>
  <c r="S80" i="17"/>
  <c r="T79" i="17"/>
  <c r="S70" i="16"/>
  <c r="T70" i="16" s="1"/>
  <c r="S70" i="15"/>
  <c r="T70" i="15" s="1"/>
  <c r="S4" i="14"/>
  <c r="Q12" i="14"/>
  <c r="S5" i="14" l="1"/>
  <c r="T4" i="14"/>
  <c r="S70" i="24"/>
  <c r="T69" i="19"/>
  <c r="S70" i="19"/>
  <c r="S71" i="18"/>
  <c r="T70" i="18"/>
  <c r="S81" i="17"/>
  <c r="T80" i="17"/>
  <c r="S71" i="16"/>
  <c r="T71" i="16" s="1"/>
  <c r="S71" i="15"/>
  <c r="T71" i="15" s="1"/>
  <c r="Q9" i="14"/>
  <c r="Q6" i="14"/>
  <c r="Q3" i="14"/>
  <c r="Q7" i="14"/>
  <c r="Q11" i="14"/>
  <c r="Q5" i="14"/>
  <c r="Q2" i="14"/>
  <c r="Q10" i="14"/>
  <c r="Q4" i="14"/>
  <c r="Q8" i="14"/>
  <c r="S6" i="14" l="1"/>
  <c r="T5" i="14"/>
  <c r="S71" i="24"/>
  <c r="S71" i="19"/>
  <c r="T70" i="19"/>
  <c r="T71" i="18"/>
  <c r="S72" i="18"/>
  <c r="S82" i="17"/>
  <c r="T81" i="17"/>
  <c r="S72" i="16"/>
  <c r="T72" i="16" s="1"/>
  <c r="S72" i="15"/>
  <c r="T72" i="15" s="1"/>
  <c r="Q14" i="14"/>
  <c r="S7" i="14" l="1"/>
  <c r="T6" i="14"/>
  <c r="S72" i="24"/>
  <c r="T71" i="19"/>
  <c r="S72" i="19"/>
  <c r="S73" i="18"/>
  <c r="T72" i="18"/>
  <c r="S83" i="17"/>
  <c r="T82" i="17"/>
  <c r="S73" i="16"/>
  <c r="T73" i="16" s="1"/>
  <c r="S73" i="15"/>
  <c r="T73" i="15" s="1"/>
  <c r="Y46" i="1"/>
  <c r="T46" i="1"/>
  <c r="S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34" i="1"/>
  <c r="X34" i="1"/>
  <c r="W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W5" i="1"/>
  <c r="V5" i="1"/>
  <c r="V34" i="1" s="1"/>
  <c r="S8" i="14" l="1"/>
  <c r="T7" i="14"/>
  <c r="S73" i="24"/>
  <c r="S73" i="19"/>
  <c r="T72" i="19"/>
  <c r="T73" i="18"/>
  <c r="S74" i="18"/>
  <c r="S84" i="17"/>
  <c r="T83" i="17"/>
  <c r="S74" i="16"/>
  <c r="T74" i="16" s="1"/>
  <c r="S74" i="15"/>
  <c r="T74" i="15" s="1"/>
  <c r="G4" i="1"/>
  <c r="Y26" i="1"/>
  <c r="Y4" i="1"/>
  <c r="S9" i="14" l="1"/>
  <c r="T8" i="14"/>
  <c r="S74" i="24"/>
  <c r="T73" i="19"/>
  <c r="S74" i="19"/>
  <c r="S75" i="18"/>
  <c r="T74" i="18"/>
  <c r="S85" i="17"/>
  <c r="T84" i="17"/>
  <c r="S75" i="16"/>
  <c r="T75" i="16" s="1"/>
  <c r="S75" i="15"/>
  <c r="T75" i="15" s="1"/>
  <c r="J10" i="1"/>
  <c r="S10" i="14" l="1"/>
  <c r="T9" i="14"/>
  <c r="S75" i="24"/>
  <c r="S75" i="19"/>
  <c r="T74" i="19"/>
  <c r="S76" i="18"/>
  <c r="T75" i="18"/>
  <c r="S86" i="17"/>
  <c r="T85" i="17"/>
  <c r="S76" i="16"/>
  <c r="T76" i="16" s="1"/>
  <c r="S76" i="15"/>
  <c r="T76" i="15" s="1"/>
  <c r="E26" i="1"/>
  <c r="S11" i="14" l="1"/>
  <c r="T10" i="14"/>
  <c r="S76" i="24"/>
  <c r="T75" i="19"/>
  <c r="S76" i="19"/>
  <c r="S77" i="18"/>
  <c r="T76" i="18"/>
  <c r="S87" i="17"/>
  <c r="T86" i="17"/>
  <c r="S77" i="16"/>
  <c r="T77" i="16" s="1"/>
  <c r="S77" i="15"/>
  <c r="T77" i="15" s="1"/>
  <c r="X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F4" i="1"/>
  <c r="E4" i="1"/>
  <c r="D4" i="1"/>
  <c r="C4" i="1"/>
  <c r="B4" i="1"/>
  <c r="W4" i="1"/>
  <c r="S12" i="14" l="1"/>
  <c r="T11" i="14"/>
  <c r="S77" i="24"/>
  <c r="S77" i="19"/>
  <c r="T76" i="19"/>
  <c r="T77" i="18"/>
  <c r="S78" i="18"/>
  <c r="S88" i="17"/>
  <c r="T87" i="17"/>
  <c r="S78" i="16"/>
  <c r="T78" i="16" s="1"/>
  <c r="S78" i="15"/>
  <c r="T78" i="15" s="1"/>
  <c r="W14" i="3"/>
  <c r="S13" i="14" l="1"/>
  <c r="T12" i="14"/>
  <c r="S78" i="24"/>
  <c r="T77" i="19"/>
  <c r="S78" i="19"/>
  <c r="S79" i="18"/>
  <c r="T78" i="18"/>
  <c r="S89" i="17"/>
  <c r="T88" i="17"/>
  <c r="S79" i="16"/>
  <c r="T79" i="16" s="1"/>
  <c r="S79" i="15"/>
  <c r="T79" i="15" s="1"/>
  <c r="A14" i="12"/>
  <c r="S14" i="14" l="1"/>
  <c r="T13" i="14"/>
  <c r="S79" i="24"/>
  <c r="S79" i="19"/>
  <c r="T78" i="19"/>
  <c r="T79" i="18"/>
  <c r="S80" i="18"/>
  <c r="S90" i="17"/>
  <c r="T89" i="17"/>
  <c r="S80" i="16"/>
  <c r="T80" i="16" s="1"/>
  <c r="S80" i="15"/>
  <c r="T80" i="15" s="1"/>
  <c r="C3" i="6"/>
  <c r="D6" i="3"/>
  <c r="H2" i="6"/>
  <c r="S15" i="14" l="1"/>
  <c r="T14" i="14"/>
  <c r="S80" i="24"/>
  <c r="T79" i="19"/>
  <c r="S80" i="19"/>
  <c r="S81" i="18"/>
  <c r="T80" i="18"/>
  <c r="S91" i="17"/>
  <c r="T90" i="17"/>
  <c r="S81" i="16"/>
  <c r="T81" i="16" s="1"/>
  <c r="S81" i="15"/>
  <c r="T81" i="15" s="1"/>
  <c r="D7" i="3"/>
  <c r="X14" i="1"/>
  <c r="W14" i="1"/>
  <c r="V14" i="1"/>
  <c r="U14" i="1"/>
  <c r="R3" i="3"/>
  <c r="K10" i="13"/>
  <c r="J10" i="13"/>
  <c r="F10" i="13"/>
  <c r="E10" i="13"/>
  <c r="D10" i="13"/>
  <c r="K8" i="13"/>
  <c r="J8" i="13"/>
  <c r="I8" i="13"/>
  <c r="G8" i="13"/>
  <c r="F8" i="13"/>
  <c r="E8" i="13"/>
  <c r="D8" i="13"/>
  <c r="K7" i="13"/>
  <c r="J7" i="13"/>
  <c r="I7" i="13"/>
  <c r="H7" i="13"/>
  <c r="G7" i="13"/>
  <c r="F7" i="13"/>
  <c r="E7" i="13"/>
  <c r="D7" i="13"/>
  <c r="J6" i="13"/>
  <c r="I6" i="13"/>
  <c r="H6" i="13"/>
  <c r="G6" i="13"/>
  <c r="F6" i="13"/>
  <c r="E6" i="13"/>
  <c r="D6" i="13"/>
  <c r="K5" i="13"/>
  <c r="J5" i="13"/>
  <c r="I5" i="13"/>
  <c r="H5" i="13"/>
  <c r="G5" i="13"/>
  <c r="K4" i="13"/>
  <c r="J4" i="13"/>
  <c r="I4" i="13"/>
  <c r="H4" i="13"/>
  <c r="G4" i="13"/>
  <c r="F4" i="13"/>
  <c r="E4" i="13"/>
  <c r="D4" i="13"/>
  <c r="K3" i="13"/>
  <c r="I3" i="13"/>
  <c r="H3" i="13"/>
  <c r="G3" i="13"/>
  <c r="F3" i="13"/>
  <c r="E3" i="13"/>
  <c r="D3" i="13"/>
  <c r="K2" i="13"/>
  <c r="J2" i="13"/>
  <c r="I2" i="13"/>
  <c r="H2" i="13"/>
  <c r="G2" i="13"/>
  <c r="F2" i="13"/>
  <c r="E2" i="13"/>
  <c r="D2" i="13"/>
  <c r="C18" i="12"/>
  <c r="C17" i="12"/>
  <c r="C16" i="12"/>
  <c r="C15" i="12"/>
  <c r="C14" i="12"/>
  <c r="D5" i="13" s="1"/>
  <c r="C13" i="12"/>
  <c r="C12" i="12"/>
  <c r="C11" i="12"/>
  <c r="C9" i="2"/>
  <c r="C8" i="2"/>
  <c r="C11" i="2"/>
  <c r="E18" i="12"/>
  <c r="E17" i="12"/>
  <c r="E16" i="12"/>
  <c r="E15" i="12"/>
  <c r="E14" i="12"/>
  <c r="F5" i="13" s="1"/>
  <c r="F1" i="13" s="1"/>
  <c r="E13" i="12"/>
  <c r="E12" i="12"/>
  <c r="E11" i="12"/>
  <c r="E11" i="2"/>
  <c r="E3" i="2"/>
  <c r="Q3" i="3"/>
  <c r="Q4" i="3" s="1"/>
  <c r="G14" i="12"/>
  <c r="F14" i="12"/>
  <c r="D14" i="12"/>
  <c r="E5" i="13" s="1"/>
  <c r="B14" i="12"/>
  <c r="C5" i="13" s="1"/>
  <c r="S16" i="14" l="1"/>
  <c r="T15" i="14"/>
  <c r="S81" i="24"/>
  <c r="S81" i="19"/>
  <c r="T80" i="19"/>
  <c r="T81" i="18"/>
  <c r="S82" i="18"/>
  <c r="S92" i="17"/>
  <c r="T91" i="17"/>
  <c r="S82" i="16"/>
  <c r="T82" i="16" s="1"/>
  <c r="S82" i="15"/>
  <c r="T82" i="15" s="1"/>
  <c r="D1" i="13"/>
  <c r="E1" i="13"/>
  <c r="D3" i="12"/>
  <c r="D4" i="2"/>
  <c r="D3" i="2"/>
  <c r="W3" i="12"/>
  <c r="T18" i="6"/>
  <c r="S17" i="14" l="1"/>
  <c r="T16" i="14"/>
  <c r="S82" i="24"/>
  <c r="T81" i="19"/>
  <c r="S82" i="19"/>
  <c r="S83" i="18"/>
  <c r="T82" i="18"/>
  <c r="S93" i="17"/>
  <c r="T92" i="17"/>
  <c r="S83" i="16"/>
  <c r="T83" i="16" s="1"/>
  <c r="S83" i="15"/>
  <c r="T83" i="15" s="1"/>
  <c r="B8" i="13"/>
  <c r="A8" i="13"/>
  <c r="B7" i="13"/>
  <c r="A7" i="13"/>
  <c r="B6" i="13"/>
  <c r="A6" i="13"/>
  <c r="B5" i="13"/>
  <c r="A5" i="13"/>
  <c r="B4" i="13"/>
  <c r="A4" i="13"/>
  <c r="B3" i="13"/>
  <c r="A3" i="13"/>
  <c r="C2" i="13"/>
  <c r="J18" i="12"/>
  <c r="I18" i="12"/>
  <c r="H18" i="12"/>
  <c r="I10" i="13" s="1"/>
  <c r="I1" i="13" s="1"/>
  <c r="G18" i="12"/>
  <c r="H10" i="13" s="1"/>
  <c r="F18" i="12"/>
  <c r="G10" i="13" s="1"/>
  <c r="G1" i="13" s="1"/>
  <c r="D18" i="12"/>
  <c r="B18" i="12"/>
  <c r="C10" i="13" s="1"/>
  <c r="A18" i="12"/>
  <c r="J17" i="12"/>
  <c r="I17" i="12"/>
  <c r="H17" i="12"/>
  <c r="F17" i="12"/>
  <c r="B17" i="12"/>
  <c r="C8" i="13" s="1"/>
  <c r="A17" i="12"/>
  <c r="J16" i="12"/>
  <c r="I16" i="12"/>
  <c r="H16" i="12"/>
  <c r="G16" i="12"/>
  <c r="F16" i="12"/>
  <c r="D16" i="12"/>
  <c r="B16" i="12"/>
  <c r="C7" i="13" s="1"/>
  <c r="J15" i="12"/>
  <c r="K6" i="13" s="1"/>
  <c r="K1" i="13" s="1"/>
  <c r="I15" i="12"/>
  <c r="H15" i="12"/>
  <c r="G15" i="12"/>
  <c r="F15" i="12"/>
  <c r="D15" i="12"/>
  <c r="B15" i="12"/>
  <c r="C6" i="13" s="1"/>
  <c r="J14" i="12"/>
  <c r="I14" i="12"/>
  <c r="H14" i="12"/>
  <c r="J13" i="12"/>
  <c r="I13" i="12"/>
  <c r="H13" i="12"/>
  <c r="G13" i="12"/>
  <c r="F13" i="12"/>
  <c r="D13" i="12"/>
  <c r="B13" i="12"/>
  <c r="J12" i="12"/>
  <c r="I12" i="12"/>
  <c r="J3" i="13" s="1"/>
  <c r="J1" i="13" s="1"/>
  <c r="H12" i="12"/>
  <c r="G12" i="12"/>
  <c r="F12" i="12"/>
  <c r="D12" i="12"/>
  <c r="B12" i="12"/>
  <c r="J11" i="12"/>
  <c r="I11" i="12"/>
  <c r="H11" i="12"/>
  <c r="G11" i="12"/>
  <c r="F11" i="12"/>
  <c r="D11" i="12"/>
  <c r="B11" i="12"/>
  <c r="W8" i="12"/>
  <c r="D8" i="12"/>
  <c r="C8" i="12"/>
  <c r="W6" i="12"/>
  <c r="W5" i="12"/>
  <c r="D5" i="12"/>
  <c r="W4" i="12"/>
  <c r="D4" i="12"/>
  <c r="C4" i="12"/>
  <c r="C3" i="12"/>
  <c r="Y18" i="6"/>
  <c r="X18" i="6"/>
  <c r="W18" i="6"/>
  <c r="V18" i="6"/>
  <c r="R18" i="6"/>
  <c r="Q18" i="6"/>
  <c r="P18" i="6"/>
  <c r="N18" i="6"/>
  <c r="M18" i="6"/>
  <c r="L18" i="6"/>
  <c r="K18" i="6"/>
  <c r="J18" i="6"/>
  <c r="I18" i="6"/>
  <c r="H18" i="6"/>
  <c r="G18" i="6"/>
  <c r="F18" i="6"/>
  <c r="E18" i="6"/>
  <c r="D18" i="6"/>
  <c r="C18" i="6"/>
  <c r="B17" i="6"/>
  <c r="B16" i="6"/>
  <c r="B15" i="6"/>
  <c r="B14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B12" i="6"/>
  <c r="B11" i="6"/>
  <c r="B10" i="6"/>
  <c r="V9" i="6"/>
  <c r="J9" i="6"/>
  <c r="F9" i="6"/>
  <c r="B9" i="6"/>
  <c r="B8" i="6"/>
  <c r="B7" i="6"/>
  <c r="B6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B3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G2" i="6"/>
  <c r="F2" i="6"/>
  <c r="E2" i="6"/>
  <c r="D2" i="6"/>
  <c r="C2" i="6"/>
  <c r="D49" i="3"/>
  <c r="C49" i="3"/>
  <c r="N14" i="3"/>
  <c r="M14" i="3"/>
  <c r="L14" i="3"/>
  <c r="J14" i="3"/>
  <c r="I14" i="3"/>
  <c r="D14" i="3" s="1"/>
  <c r="H14" i="3"/>
  <c r="G14" i="3"/>
  <c r="C14" i="3"/>
  <c r="W12" i="3"/>
  <c r="D12" i="3"/>
  <c r="C12" i="3"/>
  <c r="N11" i="3"/>
  <c r="M11" i="3"/>
  <c r="L11" i="3"/>
  <c r="K11" i="3"/>
  <c r="J11" i="3"/>
  <c r="I11" i="3"/>
  <c r="H11" i="3"/>
  <c r="G11" i="3"/>
  <c r="F11" i="3"/>
  <c r="C11" i="3" s="1"/>
  <c r="D10" i="3"/>
  <c r="C10" i="3"/>
  <c r="W9" i="3"/>
  <c r="D9" i="3"/>
  <c r="C9" i="3"/>
  <c r="Y9" i="6" s="1"/>
  <c r="W8" i="3"/>
  <c r="C8" i="3"/>
  <c r="X8" i="6" s="1"/>
  <c r="W7" i="3"/>
  <c r="C7" i="3"/>
  <c r="W6" i="3"/>
  <c r="C6" i="3"/>
  <c r="W6" i="6" s="1"/>
  <c r="J24" i="2"/>
  <c r="H24" i="2"/>
  <c r="F24" i="2"/>
  <c r="D24" i="2"/>
  <c r="B24" i="2"/>
  <c r="I16" i="2"/>
  <c r="G16" i="2"/>
  <c r="F16" i="2"/>
  <c r="B16" i="2"/>
  <c r="J11" i="2"/>
  <c r="I11" i="2"/>
  <c r="H11" i="2"/>
  <c r="G11" i="2"/>
  <c r="G17" i="12" s="1"/>
  <c r="H8" i="13" s="1"/>
  <c r="F11" i="2"/>
  <c r="D11" i="2"/>
  <c r="B11" i="2"/>
  <c r="G3" i="2"/>
  <c r="F3" i="2"/>
  <c r="X26" i="1"/>
  <c r="W26" i="1"/>
  <c r="V26" i="1"/>
  <c r="U26" i="1"/>
  <c r="T26" i="1"/>
  <c r="S26" i="1"/>
  <c r="R26" i="1"/>
  <c r="Q26" i="1"/>
  <c r="O26" i="1"/>
  <c r="N26" i="1"/>
  <c r="M26" i="1"/>
  <c r="L26" i="1"/>
  <c r="K26" i="1"/>
  <c r="K9" i="27" s="1"/>
  <c r="K15" i="27" s="1"/>
  <c r="J26" i="1"/>
  <c r="I26" i="1"/>
  <c r="H26" i="1"/>
  <c r="G26" i="1"/>
  <c r="D26" i="1"/>
  <c r="D9" i="27" s="1"/>
  <c r="D15" i="27" s="1"/>
  <c r="C26" i="1"/>
  <c r="B26" i="1"/>
  <c r="V19" i="1"/>
  <c r="X12" i="1"/>
  <c r="S18" i="14" l="1"/>
  <c r="T17" i="14"/>
  <c r="S83" i="24"/>
  <c r="S83" i="19"/>
  <c r="T82" i="19"/>
  <c r="S84" i="18"/>
  <c r="T83" i="18"/>
  <c r="S94" i="17"/>
  <c r="T93" i="17"/>
  <c r="S84" i="16"/>
  <c r="T84" i="16" s="1"/>
  <c r="S84" i="15"/>
  <c r="T84" i="15" s="1"/>
  <c r="H1" i="13"/>
  <c r="N9" i="6"/>
  <c r="R9" i="6"/>
  <c r="C9" i="6"/>
  <c r="G9" i="6"/>
  <c r="K9" i="6"/>
  <c r="O9" i="6"/>
  <c r="S9" i="6"/>
  <c r="W9" i="6"/>
  <c r="D9" i="6"/>
  <c r="H9" i="6"/>
  <c r="L9" i="6"/>
  <c r="P9" i="6"/>
  <c r="T9" i="6"/>
  <c r="X9" i="6"/>
  <c r="E9" i="6"/>
  <c r="I9" i="6"/>
  <c r="M9" i="6"/>
  <c r="Q9" i="6"/>
  <c r="U9" i="6"/>
  <c r="J6" i="6"/>
  <c r="R6" i="6"/>
  <c r="F6" i="6"/>
  <c r="N6" i="6"/>
  <c r="V6" i="6"/>
  <c r="H6" i="6"/>
  <c r="P6" i="6"/>
  <c r="X6" i="6"/>
  <c r="D6" i="6"/>
  <c r="L6" i="6"/>
  <c r="T6" i="6"/>
  <c r="E6" i="6"/>
  <c r="I6" i="6"/>
  <c r="M6" i="6"/>
  <c r="Q6" i="6"/>
  <c r="U6" i="6"/>
  <c r="Y6" i="6"/>
  <c r="C6" i="6"/>
  <c r="G6" i="6"/>
  <c r="K6" i="6"/>
  <c r="O6" i="6"/>
  <c r="S6" i="6"/>
  <c r="Y10" i="6"/>
  <c r="U10" i="6"/>
  <c r="Q10" i="6"/>
  <c r="M10" i="6"/>
  <c r="I10" i="6"/>
  <c r="E10" i="6"/>
  <c r="T10" i="6"/>
  <c r="L10" i="6"/>
  <c r="D10" i="6"/>
  <c r="S10" i="6"/>
  <c r="K10" i="6"/>
  <c r="V10" i="6"/>
  <c r="R10" i="6"/>
  <c r="N10" i="6"/>
  <c r="J10" i="6"/>
  <c r="F10" i="6"/>
  <c r="X10" i="6"/>
  <c r="P10" i="6"/>
  <c r="H10" i="6"/>
  <c r="W10" i="6"/>
  <c r="O10" i="6"/>
  <c r="G10" i="6"/>
  <c r="C10" i="6"/>
  <c r="E12" i="6"/>
  <c r="I12" i="6"/>
  <c r="M12" i="6"/>
  <c r="Q12" i="6"/>
  <c r="U12" i="6"/>
  <c r="Y12" i="6"/>
  <c r="F12" i="6"/>
  <c r="J12" i="6"/>
  <c r="N12" i="6"/>
  <c r="R12" i="6"/>
  <c r="V12" i="6"/>
  <c r="C12" i="6"/>
  <c r="G12" i="6"/>
  <c r="K12" i="6"/>
  <c r="O12" i="6"/>
  <c r="S12" i="6"/>
  <c r="W12" i="6"/>
  <c r="D12" i="6"/>
  <c r="H12" i="6"/>
  <c r="L12" i="6"/>
  <c r="P12" i="6"/>
  <c r="T12" i="6"/>
  <c r="X12" i="6"/>
  <c r="X7" i="6"/>
  <c r="D7" i="6"/>
  <c r="P7" i="6"/>
  <c r="T7" i="6"/>
  <c r="H7" i="6"/>
  <c r="V7" i="6"/>
  <c r="L7" i="6"/>
  <c r="E7" i="6"/>
  <c r="M7" i="6"/>
  <c r="Y7" i="6"/>
  <c r="F7" i="6"/>
  <c r="J7" i="6"/>
  <c r="N7" i="6"/>
  <c r="R7" i="6"/>
  <c r="C7" i="6"/>
  <c r="G7" i="6"/>
  <c r="K7" i="6"/>
  <c r="O7" i="6"/>
  <c r="S7" i="6"/>
  <c r="W7" i="6"/>
  <c r="I7" i="6"/>
  <c r="Q7" i="6"/>
  <c r="U7" i="6"/>
  <c r="E8" i="6"/>
  <c r="M8" i="6"/>
  <c r="Y8" i="6"/>
  <c r="F8" i="6"/>
  <c r="J8" i="6"/>
  <c r="N8" i="6"/>
  <c r="R8" i="6"/>
  <c r="V8" i="6"/>
  <c r="I8" i="6"/>
  <c r="U8" i="6"/>
  <c r="C8" i="6"/>
  <c r="G8" i="6"/>
  <c r="K8" i="6"/>
  <c r="O8" i="6"/>
  <c r="S8" i="6"/>
  <c r="W8" i="6"/>
  <c r="Q8" i="6"/>
  <c r="D8" i="6"/>
  <c r="H8" i="6"/>
  <c r="L8" i="6"/>
  <c r="P8" i="6"/>
  <c r="T8" i="6"/>
  <c r="D17" i="12"/>
  <c r="C4" i="13"/>
  <c r="C5" i="12"/>
  <c r="C3" i="13"/>
  <c r="S19" i="14" l="1"/>
  <c r="T18" i="14"/>
  <c r="S84" i="24"/>
  <c r="T83" i="19"/>
  <c r="S84" i="19"/>
  <c r="S85" i="18"/>
  <c r="T84" i="18"/>
  <c r="S95" i="17"/>
  <c r="T94" i="17"/>
  <c r="S85" i="16"/>
  <c r="T85" i="16" s="1"/>
  <c r="S85" i="15"/>
  <c r="T85" i="15" s="1"/>
  <c r="E1" i="6"/>
  <c r="X1" i="6"/>
  <c r="Y1" i="6"/>
  <c r="J1" i="6"/>
  <c r="F1" i="6"/>
  <c r="R1" i="6"/>
  <c r="N1" i="6"/>
  <c r="L1" i="6"/>
  <c r="M1" i="6"/>
  <c r="D1" i="6"/>
  <c r="T1" i="6"/>
  <c r="P1" i="6"/>
  <c r="V1" i="6"/>
  <c r="W1" i="6"/>
  <c r="G1" i="6"/>
  <c r="K1" i="6"/>
  <c r="I1" i="6"/>
  <c r="H1" i="6"/>
  <c r="O1" i="6"/>
  <c r="U1" i="6"/>
  <c r="S1" i="6"/>
  <c r="Q1" i="6"/>
  <c r="C1" i="13"/>
  <c r="S20" i="14" l="1"/>
  <c r="T19" i="14"/>
  <c r="S85" i="24"/>
  <c r="S85" i="19"/>
  <c r="T84" i="19"/>
  <c r="T85" i="18"/>
  <c r="S86" i="18"/>
  <c r="S96" i="17"/>
  <c r="T95" i="17"/>
  <c r="S86" i="16"/>
  <c r="T86" i="16" s="1"/>
  <c r="S86" i="15"/>
  <c r="T86" i="15" s="1"/>
  <c r="S21" i="14" l="1"/>
  <c r="T20" i="14"/>
  <c r="S86" i="24"/>
  <c r="T85" i="19"/>
  <c r="S86" i="19"/>
  <c r="S87" i="18"/>
  <c r="T86" i="18"/>
  <c r="S97" i="17"/>
  <c r="T96" i="17"/>
  <c r="S87" i="16"/>
  <c r="T87" i="16" s="1"/>
  <c r="S87" i="15"/>
  <c r="T87" i="15" s="1"/>
  <c r="S22" i="14" l="1"/>
  <c r="T21" i="14"/>
  <c r="S87" i="24"/>
  <c r="S87" i="19"/>
  <c r="T86" i="19"/>
  <c r="T87" i="18"/>
  <c r="S88" i="18"/>
  <c r="S98" i="17"/>
  <c r="T97" i="17"/>
  <c r="S88" i="16"/>
  <c r="T88" i="16" s="1"/>
  <c r="S88" i="15"/>
  <c r="T88" i="15" s="1"/>
  <c r="S23" i="14" l="1"/>
  <c r="T22" i="14"/>
  <c r="S88" i="24"/>
  <c r="T87" i="19"/>
  <c r="S88" i="19"/>
  <c r="S89" i="18"/>
  <c r="T88" i="18"/>
  <c r="S99" i="17"/>
  <c r="T98" i="17"/>
  <c r="S89" i="16"/>
  <c r="T89" i="16" s="1"/>
  <c r="S89" i="15"/>
  <c r="T89" i="15" s="1"/>
  <c r="S24" i="14" l="1"/>
  <c r="T23" i="14"/>
  <c r="S89" i="24"/>
  <c r="S89" i="19"/>
  <c r="T88" i="19"/>
  <c r="T89" i="18"/>
  <c r="S90" i="18"/>
  <c r="S100" i="17"/>
  <c r="T99" i="17"/>
  <c r="S90" i="16"/>
  <c r="T90" i="16" s="1"/>
  <c r="S90" i="15"/>
  <c r="T90" i="15" s="1"/>
  <c r="S25" i="14" l="1"/>
  <c r="T24" i="14"/>
  <c r="S90" i="24"/>
  <c r="T89" i="19"/>
  <c r="S90" i="19"/>
  <c r="S91" i="18"/>
  <c r="T90" i="18"/>
  <c r="S101" i="17"/>
  <c r="T100" i="17"/>
  <c r="S91" i="16"/>
  <c r="T91" i="16" s="1"/>
  <c r="S91" i="15"/>
  <c r="T91" i="15" s="1"/>
  <c r="S26" i="14" l="1"/>
  <c r="T25" i="14"/>
  <c r="S91" i="24"/>
  <c r="S91" i="19"/>
  <c r="T90" i="19"/>
  <c r="S92" i="18"/>
  <c r="T91" i="18"/>
  <c r="S102" i="17"/>
  <c r="T101" i="17"/>
  <c r="S92" i="16"/>
  <c r="T92" i="16" s="1"/>
  <c r="S92" i="15"/>
  <c r="T92" i="15" s="1"/>
  <c r="S27" i="14" l="1"/>
  <c r="T26" i="14"/>
  <c r="S92" i="24"/>
  <c r="T91" i="19"/>
  <c r="S92" i="19"/>
  <c r="S93" i="18"/>
  <c r="T92" i="18"/>
  <c r="S103" i="17"/>
  <c r="T102" i="17"/>
  <c r="S93" i="16"/>
  <c r="T93" i="16" s="1"/>
  <c r="S93" i="15"/>
  <c r="T93" i="15" s="1"/>
  <c r="S28" i="14" l="1"/>
  <c r="T27" i="14"/>
  <c r="S93" i="24"/>
  <c r="S93" i="19"/>
  <c r="T92" i="19"/>
  <c r="T93" i="18"/>
  <c r="S94" i="18"/>
  <c r="S104" i="17"/>
  <c r="T103" i="17"/>
  <c r="S94" i="16"/>
  <c r="T94" i="16" s="1"/>
  <c r="S94" i="15"/>
  <c r="T94" i="15" s="1"/>
  <c r="S29" i="14" l="1"/>
  <c r="T28" i="14"/>
  <c r="S94" i="24"/>
  <c r="T93" i="19"/>
  <c r="S94" i="19"/>
  <c r="S95" i="18"/>
  <c r="T94" i="18"/>
  <c r="S105" i="17"/>
  <c r="T105" i="17" s="1"/>
  <c r="T104" i="17"/>
  <c r="S95" i="16"/>
  <c r="T95" i="16" s="1"/>
  <c r="S95" i="15"/>
  <c r="T95" i="15" s="1"/>
  <c r="S30" i="14" l="1"/>
  <c r="T29" i="14"/>
  <c r="S95" i="24"/>
  <c r="S95" i="19"/>
  <c r="T94" i="19"/>
  <c r="T95" i="18"/>
  <c r="S96" i="18"/>
  <c r="S96" i="16"/>
  <c r="T96" i="16" s="1"/>
  <c r="S96" i="15"/>
  <c r="T96" i="15" s="1"/>
  <c r="S31" i="14" l="1"/>
  <c r="T30" i="14"/>
  <c r="S96" i="24"/>
  <c r="T95" i="19"/>
  <c r="S96" i="19"/>
  <c r="S97" i="18"/>
  <c r="T96" i="18"/>
  <c r="S97" i="16"/>
  <c r="T97" i="16" s="1"/>
  <c r="S97" i="15"/>
  <c r="T97" i="15" s="1"/>
  <c r="S32" i="14" l="1"/>
  <c r="T31" i="14"/>
  <c r="S97" i="24"/>
  <c r="S97" i="19"/>
  <c r="T96" i="19"/>
  <c r="T97" i="18"/>
  <c r="S98" i="18"/>
  <c r="S98" i="16"/>
  <c r="T98" i="16" s="1"/>
  <c r="S98" i="15"/>
  <c r="T98" i="15" s="1"/>
  <c r="S33" i="14" l="1"/>
  <c r="T32" i="14"/>
  <c r="S98" i="24"/>
  <c r="T97" i="19"/>
  <c r="S98" i="19"/>
  <c r="S99" i="18"/>
  <c r="T98" i="18"/>
  <c r="S99" i="16"/>
  <c r="T99" i="16" s="1"/>
  <c r="S99" i="15"/>
  <c r="T99" i="15" s="1"/>
  <c r="S34" i="14" l="1"/>
  <c r="T33" i="14"/>
  <c r="S99" i="24"/>
  <c r="S99" i="19"/>
  <c r="T98" i="19"/>
  <c r="T99" i="18"/>
  <c r="S100" i="18"/>
  <c r="S100" i="16"/>
  <c r="T100" i="16" s="1"/>
  <c r="S100" i="15"/>
  <c r="T100" i="15" s="1"/>
  <c r="S35" i="14" l="1"/>
  <c r="T34" i="14"/>
  <c r="S100" i="24"/>
  <c r="T99" i="19"/>
  <c r="S100" i="19"/>
  <c r="S101" i="18"/>
  <c r="T100" i="18"/>
  <c r="S101" i="16"/>
  <c r="T101" i="16" s="1"/>
  <c r="S101" i="15"/>
  <c r="T101" i="15" s="1"/>
  <c r="S36" i="14" l="1"/>
  <c r="T35" i="14"/>
  <c r="S101" i="24"/>
  <c r="S101" i="19"/>
  <c r="T100" i="19"/>
  <c r="T101" i="18"/>
  <c r="S102" i="18"/>
  <c r="S102" i="16"/>
  <c r="T102" i="16" s="1"/>
  <c r="S102" i="15"/>
  <c r="T102" i="15" s="1"/>
  <c r="S37" i="14" l="1"/>
  <c r="T36" i="14"/>
  <c r="S102" i="24"/>
  <c r="T101" i="19"/>
  <c r="S102" i="19"/>
  <c r="S103" i="18"/>
  <c r="T102" i="18"/>
  <c r="S103" i="16"/>
  <c r="T103" i="16" s="1"/>
  <c r="S103" i="15"/>
  <c r="T103" i="15" s="1"/>
  <c r="S38" i="14" l="1"/>
  <c r="T37" i="14"/>
  <c r="S103" i="24"/>
  <c r="S103" i="19"/>
  <c r="T102" i="19"/>
  <c r="S104" i="18"/>
  <c r="T103" i="18"/>
  <c r="S104" i="16"/>
  <c r="T104" i="16" s="1"/>
  <c r="S104" i="15"/>
  <c r="T104" i="15" s="1"/>
  <c r="S39" i="14" l="1"/>
  <c r="T38" i="14"/>
  <c r="S104" i="24"/>
  <c r="T103" i="19"/>
  <c r="S104" i="19"/>
  <c r="S105" i="18"/>
  <c r="T105" i="18" s="1"/>
  <c r="T104" i="18"/>
  <c r="S105" i="16"/>
  <c r="T105" i="16" s="1"/>
  <c r="S105" i="15"/>
  <c r="T105" i="15" s="1"/>
  <c r="S40" i="14" l="1"/>
  <c r="T39" i="14"/>
  <c r="S105" i="24"/>
  <c r="S105" i="19"/>
  <c r="T105" i="19" s="1"/>
  <c r="T104" i="19"/>
  <c r="S41" i="14" l="1"/>
  <c r="T40" i="14"/>
  <c r="S42" i="14" l="1"/>
  <c r="T41" i="14"/>
  <c r="S43" i="14" l="1"/>
  <c r="T42" i="14"/>
  <c r="S44" i="14" l="1"/>
  <c r="T43" i="14"/>
  <c r="S45" i="14" l="1"/>
  <c r="T44" i="14"/>
  <c r="S46" i="14" l="1"/>
  <c r="T45" i="14"/>
  <c r="S47" i="14" l="1"/>
  <c r="T46" i="14"/>
  <c r="S48" i="14" l="1"/>
  <c r="T47" i="14"/>
  <c r="S49" i="14" l="1"/>
  <c r="T48" i="14"/>
  <c r="S50" i="14" l="1"/>
  <c r="T49" i="14"/>
  <c r="S51" i="14" l="1"/>
  <c r="T50" i="14"/>
  <c r="S52" i="14" l="1"/>
  <c r="T51" i="14"/>
  <c r="S53" i="14" l="1"/>
  <c r="T52" i="14"/>
  <c r="S54" i="14" l="1"/>
  <c r="T53" i="14"/>
  <c r="T54" i="14" l="1"/>
  <c r="S55" i="14"/>
  <c r="T55" i="14" l="1"/>
  <c r="S56" i="14"/>
  <c r="T56" i="14" l="1"/>
  <c r="S57" i="14"/>
  <c r="T57" i="14" l="1"/>
  <c r="S58" i="14"/>
  <c r="T58" i="14" l="1"/>
  <c r="S59" i="14"/>
  <c r="T59" i="14" l="1"/>
  <c r="S60" i="14"/>
  <c r="T60" i="14" l="1"/>
  <c r="S61" i="14"/>
  <c r="T61" i="14" l="1"/>
  <c r="S62" i="14"/>
  <c r="T62" i="14" l="1"/>
  <c r="S63" i="14"/>
  <c r="T63" i="14" l="1"/>
  <c r="S64" i="14"/>
  <c r="T64" i="14" l="1"/>
  <c r="S65" i="14"/>
  <c r="T65" i="14" l="1"/>
  <c r="S66" i="14"/>
  <c r="T66" i="14" l="1"/>
  <c r="S67" i="14"/>
  <c r="T67" i="14" l="1"/>
  <c r="S68" i="14"/>
  <c r="T68" i="14" l="1"/>
  <c r="S69" i="14"/>
  <c r="T69" i="14" l="1"/>
  <c r="S70" i="14"/>
  <c r="T70" i="14" l="1"/>
  <c r="S71" i="14"/>
  <c r="T71" i="14" l="1"/>
  <c r="S72" i="14"/>
  <c r="T72" i="14" l="1"/>
  <c r="S73" i="14"/>
  <c r="T73" i="14" l="1"/>
  <c r="S74" i="14"/>
  <c r="T74" i="14" l="1"/>
  <c r="S75" i="14"/>
  <c r="T75" i="14" l="1"/>
  <c r="S76" i="14"/>
  <c r="T76" i="14" l="1"/>
  <c r="S77" i="14"/>
  <c r="T77" i="14" l="1"/>
  <c r="S78" i="14"/>
  <c r="T78" i="14" l="1"/>
  <c r="S79" i="14"/>
  <c r="T79" i="14" l="1"/>
  <c r="S80" i="14"/>
  <c r="T80" i="14" l="1"/>
  <c r="S81" i="14"/>
  <c r="T81" i="14" l="1"/>
  <c r="S82" i="14"/>
  <c r="T82" i="14" l="1"/>
  <c r="S83" i="14"/>
  <c r="T83" i="14" l="1"/>
  <c r="S84" i="14"/>
  <c r="T84" i="14" l="1"/>
  <c r="S85" i="14"/>
  <c r="T85" i="14" l="1"/>
  <c r="S86" i="14"/>
  <c r="T86" i="14" l="1"/>
  <c r="S87" i="14"/>
  <c r="T87" i="14" l="1"/>
  <c r="S88" i="14"/>
  <c r="T88" i="14" l="1"/>
  <c r="S89" i="14"/>
  <c r="T89" i="14" l="1"/>
  <c r="S90" i="14"/>
  <c r="T90" i="14" l="1"/>
  <c r="S91" i="14"/>
  <c r="T91" i="14" l="1"/>
  <c r="S92" i="14"/>
  <c r="T92" i="14" l="1"/>
  <c r="S93" i="14"/>
  <c r="T93" i="14" l="1"/>
  <c r="S94" i="14"/>
  <c r="T94" i="14" l="1"/>
  <c r="S95" i="14"/>
  <c r="T95" i="14" l="1"/>
  <c r="S96" i="14"/>
  <c r="T96" i="14" l="1"/>
  <c r="S97" i="14"/>
  <c r="T97" i="14" l="1"/>
  <c r="S98" i="14"/>
  <c r="T98" i="14" l="1"/>
  <c r="S99" i="14"/>
  <c r="T99" i="14" l="1"/>
  <c r="S100" i="14"/>
  <c r="T100" i="14" l="1"/>
  <c r="S101" i="14"/>
  <c r="T101" i="14" l="1"/>
  <c r="S102" i="14"/>
  <c r="T102" i="14" l="1"/>
  <c r="S103" i="14"/>
  <c r="T103" i="14" l="1"/>
  <c r="S104" i="14"/>
  <c r="T104" i="14" l="1"/>
  <c r="S105" i="14"/>
  <c r="T105" i="14" s="1"/>
</calcChain>
</file>

<file path=xl/sharedStrings.xml><?xml version="1.0" encoding="utf-8"?>
<sst xmlns="http://schemas.openxmlformats.org/spreadsheetml/2006/main" count="553" uniqueCount="258">
  <si>
    <t>UAV</t>
  </si>
  <si>
    <t>Raven</t>
  </si>
  <si>
    <t>Scan Eagle</t>
  </si>
  <si>
    <t>Launch Rq</t>
  </si>
  <si>
    <t>Recov Rq</t>
  </si>
  <si>
    <t>Stealth</t>
  </si>
  <si>
    <t>Cost - Aq</t>
  </si>
  <si>
    <t>Cost - Mx</t>
  </si>
  <si>
    <t>Power Avail</t>
  </si>
  <si>
    <t>Weight</t>
  </si>
  <si>
    <t>Cost - AQ</t>
  </si>
  <si>
    <t>Maker</t>
  </si>
  <si>
    <t>Shrike</t>
  </si>
  <si>
    <t>Predator</t>
  </si>
  <si>
    <t>Gray Eagle</t>
  </si>
  <si>
    <t>Shadow</t>
  </si>
  <si>
    <t>Fire Scout</t>
  </si>
  <si>
    <t>Reaper</t>
  </si>
  <si>
    <t>Neptune</t>
  </si>
  <si>
    <t>T-Hawk</t>
  </si>
  <si>
    <t>UCAS-D</t>
  </si>
  <si>
    <t>Height (ft)</t>
  </si>
  <si>
    <t>Wingspan (ft)</t>
  </si>
  <si>
    <t>Wing Area (ft2)</t>
  </si>
  <si>
    <t>Payload wt (lb)</t>
  </si>
  <si>
    <t>Endurance (hrs)</t>
  </si>
  <si>
    <t>Ceiling (ft)</t>
  </si>
  <si>
    <t>Range (nm)</t>
  </si>
  <si>
    <t>Flyaway</t>
  </si>
  <si>
    <t>Weapon system</t>
  </si>
  <si>
    <t>Procurement</t>
  </si>
  <si>
    <t>Program</t>
  </si>
  <si>
    <t>RQ-4A</t>
  </si>
  <si>
    <t>RQ-4B</t>
  </si>
  <si>
    <t>MQ-1</t>
  </si>
  <si>
    <t>MQ-1C</t>
  </si>
  <si>
    <t>MQ-4C</t>
  </si>
  <si>
    <t>RQ-7</t>
  </si>
  <si>
    <t>MQ-8</t>
  </si>
  <si>
    <t>MQ-9</t>
  </si>
  <si>
    <t>RQ-11</t>
  </si>
  <si>
    <t>RQ-15</t>
  </si>
  <si>
    <t>RQ-16</t>
  </si>
  <si>
    <t>YMQ-18A</t>
  </si>
  <si>
    <t>RQ-21</t>
  </si>
  <si>
    <t>X-47B</t>
  </si>
  <si>
    <t>WASP III</t>
  </si>
  <si>
    <t>RQ-20</t>
  </si>
  <si>
    <t>Trellisware</t>
  </si>
  <si>
    <t>Persistent Systems</t>
  </si>
  <si>
    <t>OCEUS</t>
  </si>
  <si>
    <t>Simultaneous Freqs</t>
  </si>
  <si>
    <t>Total Freqs</t>
  </si>
  <si>
    <t>Bandwidth Req (MHz)</t>
  </si>
  <si>
    <t>Power Req (W)</t>
  </si>
  <si>
    <t>Throughput-dl (Mb/s)</t>
  </si>
  <si>
    <t>Throughput-up (Mb/s)</t>
  </si>
  <si>
    <t>Communication System</t>
  </si>
  <si>
    <t>WildCat II</t>
  </si>
  <si>
    <t>(1)VHF/(2)UHF</t>
  </si>
  <si>
    <t>TML</t>
  </si>
  <si>
    <t>MTBF</t>
  </si>
  <si>
    <t>MTTR</t>
  </si>
  <si>
    <t>Availability</t>
  </si>
  <si>
    <t>Complexity</t>
  </si>
  <si>
    <t>5/10/20/40 MHz</t>
  </si>
  <si>
    <t>Harris</t>
  </si>
  <si>
    <t>AeroVironment</t>
  </si>
  <si>
    <t>Size (in^3)</t>
  </si>
  <si>
    <t>Frequency Hopping</t>
  </si>
  <si>
    <t>Encryption Enabled</t>
  </si>
  <si>
    <t>Military Designator</t>
  </si>
  <si>
    <t>Dimension - Length (ft)</t>
  </si>
  <si>
    <t>Weight - Empty (lb)</t>
  </si>
  <si>
    <t>Cost - Average unit ($m)</t>
  </si>
  <si>
    <t>Scenario</t>
  </si>
  <si>
    <t>Man Portable</t>
  </si>
  <si>
    <t>Ceiling</t>
  </si>
  <si>
    <t>Endurance</t>
  </si>
  <si>
    <t>Range</t>
  </si>
  <si>
    <t>Cruise Speed</t>
  </si>
  <si>
    <t>Tech Mat Level</t>
  </si>
  <si>
    <t>All-Weather Capable</t>
  </si>
  <si>
    <t>Radar Cross-section</t>
  </si>
  <si>
    <t>Observability</t>
  </si>
  <si>
    <t>Countermeasures</t>
  </si>
  <si>
    <t>HADR</t>
  </si>
  <si>
    <t>Long Range Comms</t>
  </si>
  <si>
    <t>Weights</t>
  </si>
  <si>
    <t>Value Function</t>
  </si>
  <si>
    <t>Recovery Length</t>
  </si>
  <si>
    <t>Vertical</t>
  </si>
  <si>
    <t>Catapult</t>
  </si>
  <si>
    <t>Runway</t>
  </si>
  <si>
    <t>Deep Stall</t>
  </si>
  <si>
    <t>Wire</t>
  </si>
  <si>
    <t>Net</t>
  </si>
  <si>
    <t>Arresting Gear</t>
  </si>
  <si>
    <t>Mishap Rate per 100k hr</t>
  </si>
  <si>
    <t>All-Weather</t>
  </si>
  <si>
    <t>Clouds</t>
  </si>
  <si>
    <t>Rain</t>
  </si>
  <si>
    <t>Ice</t>
  </si>
  <si>
    <t>None</t>
  </si>
  <si>
    <t>X4</t>
  </si>
  <si>
    <t>X3</t>
  </si>
  <si>
    <t>X2</t>
  </si>
  <si>
    <t>X</t>
  </si>
  <si>
    <t>C</t>
  </si>
  <si>
    <t>Max</t>
  </si>
  <si>
    <t>Min</t>
  </si>
  <si>
    <t>n/a</t>
  </si>
  <si>
    <t>Rec. Method</t>
  </si>
  <si>
    <t>X5</t>
  </si>
  <si>
    <t>Metric</t>
  </si>
  <si>
    <t>Total:</t>
  </si>
  <si>
    <t>No</t>
  </si>
  <si>
    <t>Hand</t>
  </si>
  <si>
    <t>Useful Load</t>
  </si>
  <si>
    <t>Weather Capable</t>
  </si>
  <si>
    <t>Aerosonde Mark 4.7</t>
  </si>
  <si>
    <t>MQ-19</t>
  </si>
  <si>
    <t>Parachute</t>
  </si>
  <si>
    <t>Yes</t>
  </si>
  <si>
    <t>First Flight</t>
  </si>
  <si>
    <t>Base Year</t>
  </si>
  <si>
    <t>Life Cycle</t>
  </si>
  <si>
    <t>-</t>
  </si>
  <si>
    <t>Years in Service</t>
  </si>
  <si>
    <t>RAID Tower</t>
  </si>
  <si>
    <t>Cerberus Tower</t>
  </si>
  <si>
    <t>PTDS 74K</t>
  </si>
  <si>
    <t>Aerostat</t>
  </si>
  <si>
    <t>TIF-25K</t>
  </si>
  <si>
    <t>Hours flown</t>
  </si>
  <si>
    <t>Mishap Rate Total</t>
  </si>
  <si>
    <t>http://www.defenseindustrydaily.com/the-usas-raid-program-small-aerostats-big-surveillance-time-02779/</t>
  </si>
  <si>
    <t>GSAAdvaantage</t>
  </si>
  <si>
    <t>http://www.defenseindustrydaily.com/Digital-Raven-Up-to-666M-to-AeroVironment-for-UAV-Upgrades-06050/</t>
  </si>
  <si>
    <t>http://www.defenseindustrydaily.com/Drone-Relay-PRC-152-Radios-RQ-7-UAVs-Front-Line-Bandwidth-04753/</t>
  </si>
  <si>
    <t>http://www.defenseindustrydaily.com/a160-hummingbird-boeings-variable-rotor-vtuav-03989/</t>
  </si>
  <si>
    <t>Cost</t>
  </si>
  <si>
    <t>http://www.defenseindustrydaily.com/133M-to-Lockheed-Martin-for-US-Army-Aerostat-based-Warning-System-05835/</t>
  </si>
  <si>
    <t>http://www.defenseindustrydaily.com/cerberus-standing-guard-over-us-militarys-forward-bases-06129/</t>
  </si>
  <si>
    <t>Y</t>
  </si>
  <si>
    <t>N</t>
  </si>
  <si>
    <t>Data</t>
  </si>
  <si>
    <t>Voice / Data</t>
  </si>
  <si>
    <t>Both</t>
  </si>
  <si>
    <t>5 year Average Mishap Rate (100k hrs)</t>
  </si>
  <si>
    <t>mishap rate source: 1998/2001-2013 Mishap History, US Airfoce</t>
  </si>
  <si>
    <t>Puma AE</t>
  </si>
  <si>
    <t>http%3A%2F%2Fwww.defense.gov%2Fpubs%2FDOD-USRM-2013.pdf&amp;ei=Mt0TU9yMEObaygOO7ICwBA&amp;usg=AFQjCNEBk_hbNEQHRPjC3iC8-fo9fhXevQ&amp;sig2=ikxvkVnrgPfWHpqrQyvo0A</t>
  </si>
  <si>
    <t>2009 UAV Roadmap, page 93</t>
  </si>
  <si>
    <t>Global Hawk A</t>
  </si>
  <si>
    <t>Carrier</t>
  </si>
  <si>
    <t>Launch Method</t>
  </si>
  <si>
    <t>Tx Power Out</t>
  </si>
  <si>
    <t>http://www.avinc.com/downloads/DDLDataSheet2012.pdf</t>
  </si>
  <si>
    <t>FIPS 140-2 (up to level 2)</t>
  </si>
  <si>
    <t>http://www.persistentsystems.com/pdf/Gen4_GovernmentAndMilitary_SpecSheet.pdf</t>
  </si>
  <si>
    <t>http://www.oceusnetworks.com/sites/oceusnetworks.com/files/oceus-ds-xiphos-7-13final.pdf</t>
  </si>
  <si>
    <t>AES</t>
  </si>
  <si>
    <t>Sierra II Based Type-1</t>
  </si>
  <si>
    <t>http://rf.harris.com/media/AN-PRC-117G_WEB_tcm26-9017.pdf</t>
  </si>
  <si>
    <t>http://rf.harris.com/media/AN-PRC-152_M1_Web_tcm26-9021.pdf</t>
  </si>
  <si>
    <t>http://rf.harris.com/media/prc-152_vrc-110_handbook_tcm26-11408.pdf</t>
  </si>
  <si>
    <t>IOC</t>
  </si>
  <si>
    <t>Year in Service</t>
  </si>
  <si>
    <t>Ocelot</t>
  </si>
  <si>
    <t>https://www.trellisware.com/wp-content/uploads/TW-600_Ocelot_Product_bulletin.pdf</t>
  </si>
  <si>
    <t>https://www.trellisware.com/wp-content/uploads/TW-130-WildCat-II-Product-Bulletin.pdf</t>
  </si>
  <si>
    <t>X6</t>
  </si>
  <si>
    <t>Throughput</t>
  </si>
  <si>
    <t>Mesh</t>
  </si>
  <si>
    <t>Data Type</t>
  </si>
  <si>
    <t>Voice</t>
  </si>
  <si>
    <t>Total Throughput</t>
  </si>
  <si>
    <t>Manet</t>
  </si>
  <si>
    <t>Triton</t>
  </si>
  <si>
    <t>Blackjack</t>
  </si>
  <si>
    <t>Comm Payload</t>
  </si>
  <si>
    <t>Global Hawk</t>
  </si>
  <si>
    <t>Power Output</t>
  </si>
  <si>
    <t>Technology Maturity Level</t>
  </si>
  <si>
    <t>Digital Data Link</t>
  </si>
  <si>
    <t>Xiphos - 6RU</t>
  </si>
  <si>
    <t>Xiphos - 1RU</t>
  </si>
  <si>
    <t>Falcon III AN/PRC-117G</t>
  </si>
  <si>
    <t>Wave Relay Quad</t>
  </si>
  <si>
    <t>Speed (knots)</t>
  </si>
  <si>
    <t>Wave Relay</t>
  </si>
  <si>
    <t>Receiver Sensitivity (dBm)</t>
  </si>
  <si>
    <t>Receiver Sensitivity</t>
  </si>
  <si>
    <t>Comm dist (nm)</t>
  </si>
  <si>
    <t>Avenger</t>
  </si>
  <si>
    <t>http://www.ga-asi.com/products/aircraft/pdf/Predator_C.pdf</t>
  </si>
  <si>
    <t>http://www.ga-asi.com/products/aircraft/pdf/Gray_Eagle.pdf</t>
  </si>
  <si>
    <t>Source</t>
  </si>
  <si>
    <t>http://www.ga-asi.com/products/aircraft/pdf/MQ-1_Predator.pdf</t>
  </si>
  <si>
    <t>http://www.ga-asi.com/products/aircraft/pdf/Predator_B.pdf</t>
  </si>
  <si>
    <t>http://www.northropgrumman.com/Capabilities/GlobalHawk/Pages/default.aspx</t>
  </si>
  <si>
    <t>http://www.northropgrumman.com/Capabilities/Triton/Pages/default.aspx</t>
  </si>
  <si>
    <t>http://www.lockheedmartin.com/content/dam/lockheed/data/ms2/documents/Lighter-Than-Air-brochure.pdf</t>
  </si>
  <si>
    <t>http://ravenaerostar.com/solutions/aerostats/tif-25k</t>
  </si>
  <si>
    <t>Use Rossi</t>
  </si>
  <si>
    <t>Hummingbird</t>
  </si>
  <si>
    <t>http://www.boeing.com/boeing/bds/phantom_works/hummingbird.page</t>
  </si>
  <si>
    <t>http://www.northropgrumman.com/Capabilities/FireScout/Documents/pageDocuments/MQ-8B_Fire_Scout_Data_Sheet.pdf</t>
  </si>
  <si>
    <t>http://www.avinc.com/downloads/Raven_Gimbal.pdf</t>
  </si>
  <si>
    <t>http://www.insitu.com/systems/integrator/rq-21a-blackjack</t>
  </si>
  <si>
    <t>http://www.avinc.com/downloads/Wasp_III.pdf</t>
  </si>
  <si>
    <t>http://www.insitu.com/systems/scaneagle</t>
  </si>
  <si>
    <t>http://www.insitu.com/images/uploads/product-cards/ScanEagle.pdf</t>
  </si>
  <si>
    <t>http://archive.is/jpRt</t>
  </si>
  <si>
    <t>http://www.fas.org/man/dod-101/sys/land/wsh2012/254.pdf</t>
  </si>
  <si>
    <t>Falcon III RF-7800W OU440</t>
  </si>
  <si>
    <t>Mesh/MANET/None</t>
  </si>
  <si>
    <t>Pounds</t>
  </si>
  <si>
    <t>Assessed value</t>
  </si>
  <si>
    <t>a</t>
  </si>
  <si>
    <t>K</t>
  </si>
  <si>
    <t>Calculated value</t>
  </si>
  <si>
    <t xml:space="preserve">Squared difference </t>
  </si>
  <si>
    <t>sum of squared differences</t>
  </si>
  <si>
    <t>x</t>
  </si>
  <si>
    <t>v(x)</t>
  </si>
  <si>
    <t>Feet</t>
  </si>
  <si>
    <t>b</t>
  </si>
  <si>
    <t>Hours</t>
  </si>
  <si>
    <t>Nautical miles</t>
  </si>
  <si>
    <t>Knots</t>
  </si>
  <si>
    <t>Years in service</t>
  </si>
  <si>
    <t>Deicing capability</t>
  </si>
  <si>
    <t>Man portability</t>
  </si>
  <si>
    <t>Able to be carried by a single user</t>
  </si>
  <si>
    <t>Launch method</t>
  </si>
  <si>
    <t>Recovery method</t>
  </si>
  <si>
    <t>All weather capability</t>
  </si>
  <si>
    <t>Attributes</t>
  </si>
  <si>
    <t>Objective</t>
  </si>
  <si>
    <t>Performance</t>
  </si>
  <si>
    <t>Readiness</t>
  </si>
  <si>
    <t>Survivability</t>
  </si>
  <si>
    <t>Flexibility</t>
  </si>
  <si>
    <t>Technology maturity level</t>
  </si>
  <si>
    <t>Local weight</t>
  </si>
  <si>
    <t>Global weight</t>
  </si>
  <si>
    <t>Attribute</t>
  </si>
  <si>
    <t>Cruise speed</t>
  </si>
  <si>
    <t>Useful load</t>
  </si>
  <si>
    <t>Man Portability</t>
  </si>
  <si>
    <t>Measure of effectiveness</t>
  </si>
  <si>
    <t>Effectiveness by objective</t>
  </si>
  <si>
    <t>Annualized LCC ($ mil)</t>
  </si>
  <si>
    <t>Annualized LCC ($mil)</t>
  </si>
  <si>
    <t>Wasp III</t>
  </si>
  <si>
    <t>Field of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</si>
</sst>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0.0E+00"/>
    <numFmt numFmtId="166" formatCode="_(* #,##0.000000_);_(* \(#,##0.000000\);_(* &quot;-&quot;??_);_(@_)"/>
    <numFmt numFmtId="167" formatCode="0.00000"/>
    <numFmt numFmtId="168" formatCode="0.000"/>
    <numFmt numFmtId="169" formatCode="0.000E+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43" fontId="0" fillId="0" borderId="0" xfId="1" applyNumberFormat="1" applyFont="1"/>
    <xf numFmtId="0" fontId="0" fillId="0" borderId="0" xfId="1" applyNumberFormat="1" applyFont="1"/>
    <xf numFmtId="11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2" fontId="0" fillId="0" borderId="0" xfId="0" applyNumberFormat="1"/>
    <xf numFmtId="0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43" fontId="0" fillId="0" borderId="0" xfId="0" applyNumberFormat="1"/>
    <xf numFmtId="0" fontId="0" fillId="2" borderId="0" xfId="0" applyFill="1"/>
    <xf numFmtId="0" fontId="3" fillId="0" borderId="0" xfId="0" applyFont="1" applyAlignment="1">
      <alignment horizontal="center" vertical="center" readingOrder="1"/>
    </xf>
    <xf numFmtId="0" fontId="4" fillId="0" borderId="0" xfId="2"/>
    <xf numFmtId="166" fontId="0" fillId="0" borderId="0" xfId="1" applyNumberFormat="1" applyFont="1"/>
    <xf numFmtId="0" fontId="0" fillId="0" borderId="0" xfId="0" quotePrefix="1"/>
    <xf numFmtId="11" fontId="0" fillId="0" borderId="0" xfId="1" applyNumberFormat="1" applyFont="1"/>
    <xf numFmtId="0" fontId="0" fillId="0" borderId="0" xfId="0" applyFill="1"/>
    <xf numFmtId="0" fontId="3" fillId="0" borderId="0" xfId="0" applyFont="1" applyAlignment="1">
      <alignment horizontal="left" vertical="center" readingOrder="1"/>
    </xf>
    <xf numFmtId="1" fontId="0" fillId="0" borderId="0" xfId="0" applyNumberFormat="1"/>
    <xf numFmtId="0" fontId="0" fillId="3" borderId="0" xfId="0" applyFill="1"/>
    <xf numFmtId="164" fontId="0" fillId="3" borderId="0" xfId="0" applyNumberFormat="1" applyFill="1"/>
    <xf numFmtId="167" fontId="0" fillId="3" borderId="0" xfId="0" applyNumberFormat="1" applyFill="1"/>
    <xf numFmtId="0" fontId="0" fillId="3" borderId="0" xfId="0" quotePrefix="1" applyFill="1"/>
    <xf numFmtId="0" fontId="0" fillId="3" borderId="0" xfId="0" applyNumberFormat="1" applyFill="1"/>
    <xf numFmtId="0" fontId="0" fillId="3" borderId="0" xfId="0" quotePrefix="1" applyNumberFormat="1" applyFill="1"/>
    <xf numFmtId="17" fontId="0" fillId="3" borderId="0" xfId="0" applyNumberFormat="1" applyFill="1"/>
    <xf numFmtId="0" fontId="4" fillId="3" borderId="0" xfId="2" applyFill="1"/>
    <xf numFmtId="168" fontId="0" fillId="0" borderId="0" xfId="0" applyNumberFormat="1"/>
    <xf numFmtId="169" fontId="0" fillId="0" borderId="0" xfId="0" applyNumberFormat="1"/>
    <xf numFmtId="0" fontId="5" fillId="0" borderId="0" xfId="0" applyFont="1"/>
    <xf numFmtId="0" fontId="5" fillId="0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colors>
    <mruColors>
      <color rgb="FF00000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Useful load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'Useful load'!$A$2:$A$12</c:f>
              <c:numCache>
                <c:formatCode>General</c:formatCode>
                <c:ptCount val="11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12.5</c:v>
                </c:pt>
                <c:pt idx="7">
                  <c:v>13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</c:numCache>
            </c:numRef>
          </c:xVal>
          <c:yVal>
            <c:numRef>
              <c:f>'Useful load'!$B$2:$B$12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'Useful load'!$S$4:$S$105</c:f>
              <c:numCache>
                <c:formatCode>General</c:formatCode>
                <c:ptCount val="102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1.2000000000000002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3.1999999999999997</c:v>
                </c:pt>
                <c:pt idx="9">
                  <c:v>3.5999999999999996</c:v>
                </c:pt>
                <c:pt idx="10">
                  <c:v>3.9999999999999996</c:v>
                </c:pt>
                <c:pt idx="11">
                  <c:v>4.3999999999999995</c:v>
                </c:pt>
                <c:pt idx="12">
                  <c:v>4.8</c:v>
                </c:pt>
                <c:pt idx="13">
                  <c:v>5.2</c:v>
                </c:pt>
                <c:pt idx="14">
                  <c:v>5.6000000000000005</c:v>
                </c:pt>
                <c:pt idx="15">
                  <c:v>6.0000000000000009</c:v>
                </c:pt>
                <c:pt idx="16">
                  <c:v>6.4000000000000012</c:v>
                </c:pt>
                <c:pt idx="17">
                  <c:v>6.8000000000000016</c:v>
                </c:pt>
                <c:pt idx="18">
                  <c:v>7.200000000000002</c:v>
                </c:pt>
                <c:pt idx="19">
                  <c:v>7.6000000000000023</c:v>
                </c:pt>
                <c:pt idx="20">
                  <c:v>8.0000000000000018</c:v>
                </c:pt>
                <c:pt idx="21">
                  <c:v>8.4000000000000021</c:v>
                </c:pt>
                <c:pt idx="22">
                  <c:v>8.8000000000000025</c:v>
                </c:pt>
                <c:pt idx="23">
                  <c:v>9.2000000000000028</c:v>
                </c:pt>
                <c:pt idx="24">
                  <c:v>9.6000000000000032</c:v>
                </c:pt>
                <c:pt idx="25">
                  <c:v>10.000000000000004</c:v>
                </c:pt>
                <c:pt idx="26">
                  <c:v>10.400000000000004</c:v>
                </c:pt>
                <c:pt idx="27">
                  <c:v>10.800000000000004</c:v>
                </c:pt>
                <c:pt idx="28">
                  <c:v>11.200000000000005</c:v>
                </c:pt>
                <c:pt idx="29">
                  <c:v>11.600000000000005</c:v>
                </c:pt>
                <c:pt idx="30">
                  <c:v>12.000000000000005</c:v>
                </c:pt>
                <c:pt idx="31">
                  <c:v>12.400000000000006</c:v>
                </c:pt>
                <c:pt idx="32">
                  <c:v>12.800000000000006</c:v>
                </c:pt>
                <c:pt idx="33">
                  <c:v>13.200000000000006</c:v>
                </c:pt>
                <c:pt idx="34">
                  <c:v>13.600000000000007</c:v>
                </c:pt>
                <c:pt idx="35">
                  <c:v>14.000000000000007</c:v>
                </c:pt>
                <c:pt idx="36">
                  <c:v>14.400000000000007</c:v>
                </c:pt>
                <c:pt idx="37">
                  <c:v>14.800000000000008</c:v>
                </c:pt>
                <c:pt idx="38">
                  <c:v>15.200000000000008</c:v>
                </c:pt>
                <c:pt idx="39">
                  <c:v>15.600000000000009</c:v>
                </c:pt>
                <c:pt idx="40">
                  <c:v>16.000000000000007</c:v>
                </c:pt>
                <c:pt idx="41">
                  <c:v>16.400000000000006</c:v>
                </c:pt>
                <c:pt idx="42">
                  <c:v>16.800000000000004</c:v>
                </c:pt>
                <c:pt idx="43">
                  <c:v>17.200000000000003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18.799999999999997</c:v>
                </c:pt>
                <c:pt idx="48">
                  <c:v>19.199999999999996</c:v>
                </c:pt>
                <c:pt idx="49">
                  <c:v>19.599999999999994</c:v>
                </c:pt>
                <c:pt idx="50">
                  <c:v>19.999999999999993</c:v>
                </c:pt>
                <c:pt idx="51">
                  <c:v>20.399999999999991</c:v>
                </c:pt>
                <c:pt idx="52">
                  <c:v>20.79999999999999</c:v>
                </c:pt>
                <c:pt idx="53">
                  <c:v>21.199999999999989</c:v>
                </c:pt>
                <c:pt idx="54">
                  <c:v>21.599999999999987</c:v>
                </c:pt>
                <c:pt idx="55">
                  <c:v>21.999999999999986</c:v>
                </c:pt>
                <c:pt idx="56">
                  <c:v>22.399999999999984</c:v>
                </c:pt>
                <c:pt idx="57">
                  <c:v>22.799999999999983</c:v>
                </c:pt>
                <c:pt idx="58">
                  <c:v>23.199999999999982</c:v>
                </c:pt>
                <c:pt idx="59">
                  <c:v>23.59999999999998</c:v>
                </c:pt>
                <c:pt idx="60">
                  <c:v>23.999999999999979</c:v>
                </c:pt>
                <c:pt idx="61">
                  <c:v>24.399999999999977</c:v>
                </c:pt>
                <c:pt idx="62">
                  <c:v>24.799999999999976</c:v>
                </c:pt>
                <c:pt idx="63">
                  <c:v>25.199999999999974</c:v>
                </c:pt>
                <c:pt idx="64">
                  <c:v>25.599999999999973</c:v>
                </c:pt>
                <c:pt idx="65">
                  <c:v>25.999999999999972</c:v>
                </c:pt>
                <c:pt idx="66">
                  <c:v>26.39999999999997</c:v>
                </c:pt>
                <c:pt idx="67">
                  <c:v>26.799999999999969</c:v>
                </c:pt>
                <c:pt idx="68">
                  <c:v>27.199999999999967</c:v>
                </c:pt>
                <c:pt idx="69">
                  <c:v>27.599999999999966</c:v>
                </c:pt>
                <c:pt idx="70">
                  <c:v>27.999999999999964</c:v>
                </c:pt>
                <c:pt idx="71">
                  <c:v>28.399999999999963</c:v>
                </c:pt>
                <c:pt idx="72">
                  <c:v>28.799999999999962</c:v>
                </c:pt>
                <c:pt idx="73">
                  <c:v>29.19999999999996</c:v>
                </c:pt>
                <c:pt idx="74">
                  <c:v>29.599999999999959</c:v>
                </c:pt>
                <c:pt idx="75">
                  <c:v>29.999999999999957</c:v>
                </c:pt>
                <c:pt idx="76">
                  <c:v>30.399999999999956</c:v>
                </c:pt>
                <c:pt idx="77">
                  <c:v>30.799999999999955</c:v>
                </c:pt>
                <c:pt idx="78">
                  <c:v>31.199999999999953</c:v>
                </c:pt>
                <c:pt idx="79">
                  <c:v>31.599999999999952</c:v>
                </c:pt>
                <c:pt idx="80">
                  <c:v>31.99999999999995</c:v>
                </c:pt>
                <c:pt idx="81">
                  <c:v>32.399999999999949</c:v>
                </c:pt>
                <c:pt idx="82">
                  <c:v>32.799999999999947</c:v>
                </c:pt>
                <c:pt idx="83">
                  <c:v>33.199999999999946</c:v>
                </c:pt>
                <c:pt idx="84">
                  <c:v>33.599999999999945</c:v>
                </c:pt>
                <c:pt idx="85">
                  <c:v>33.999999999999943</c:v>
                </c:pt>
                <c:pt idx="86">
                  <c:v>34.399999999999942</c:v>
                </c:pt>
                <c:pt idx="87">
                  <c:v>34.79999999999994</c:v>
                </c:pt>
                <c:pt idx="88">
                  <c:v>35.199999999999939</c:v>
                </c:pt>
                <c:pt idx="89">
                  <c:v>35.599999999999937</c:v>
                </c:pt>
                <c:pt idx="90">
                  <c:v>35.999999999999936</c:v>
                </c:pt>
                <c:pt idx="91">
                  <c:v>36.399999999999935</c:v>
                </c:pt>
                <c:pt idx="92">
                  <c:v>36.799999999999933</c:v>
                </c:pt>
                <c:pt idx="93">
                  <c:v>37.199999999999932</c:v>
                </c:pt>
                <c:pt idx="94">
                  <c:v>37.59999999999993</c:v>
                </c:pt>
                <c:pt idx="95">
                  <c:v>37.999999999999929</c:v>
                </c:pt>
                <c:pt idx="96">
                  <c:v>38.399999999999928</c:v>
                </c:pt>
                <c:pt idx="97">
                  <c:v>38.799999999999926</c:v>
                </c:pt>
                <c:pt idx="98">
                  <c:v>39.199999999999925</c:v>
                </c:pt>
                <c:pt idx="99">
                  <c:v>39.599999999999923</c:v>
                </c:pt>
                <c:pt idx="100">
                  <c:v>39.999999999999922</c:v>
                </c:pt>
                <c:pt idx="101">
                  <c:v>40.39999999999992</c:v>
                </c:pt>
              </c:numCache>
            </c:numRef>
          </c:xVal>
          <c:yVal>
            <c:numRef>
              <c:f>'Useful load'!$T$4:$T$105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2.6484270127604192E-2</c:v>
                </c:pt>
                <c:pt idx="2">
                  <c:v>5.8430613374086025E-2</c:v>
                </c:pt>
                <c:pt idx="3">
                  <c:v>9.2143126513379123E-2</c:v>
                </c:pt>
                <c:pt idx="4">
                  <c:v>0.12660290013618147</c:v>
                </c:pt>
                <c:pt idx="5">
                  <c:v>0.16127481087321785</c:v>
                </c:pt>
                <c:pt idx="6">
                  <c:v>0.19582481239111554</c:v>
                </c:pt>
                <c:pt idx="7">
                  <c:v>0.23002605109967983</c:v>
                </c:pt>
                <c:pt idx="8">
                  <c:v>0.26371717426676444</c:v>
                </c:pt>
                <c:pt idx="9">
                  <c:v>0.29678048185233308</c:v>
                </c:pt>
                <c:pt idx="10">
                  <c:v>0.32912914733216381</c:v>
                </c:pt>
                <c:pt idx="11">
                  <c:v>0.36069912861125714</c:v>
                </c:pt>
                <c:pt idx="12">
                  <c:v>0.39144373294090962</c:v>
                </c:pt>
                <c:pt idx="13">
                  <c:v>0.42132979102843737</c:v>
                </c:pt>
                <c:pt idx="14">
                  <c:v>0.45033486191869521</c:v>
                </c:pt>
                <c:pt idx="15">
                  <c:v>0.47844512842984022</c:v>
                </c:pt>
                <c:pt idx="16">
                  <c:v>0.50565377284443669</c:v>
                </c:pt>
                <c:pt idx="17">
                  <c:v>0.53195969734345749</c:v>
                </c:pt>
                <c:pt idx="18">
                  <c:v>0.5573664987120448</c:v>
                </c:pt>
                <c:pt idx="19">
                  <c:v>0.58188163503837287</c:v>
                </c:pt>
                <c:pt idx="20">
                  <c:v>0.60551574037068123</c:v>
                </c:pt>
                <c:pt idx="21">
                  <c:v>0.62828205545205296</c:v>
                </c:pt>
                <c:pt idx="22">
                  <c:v>0.65019595096104221</c:v>
                </c:pt>
                <c:pt idx="23">
                  <c:v>0.67127452549745315</c:v>
                </c:pt>
                <c:pt idx="24">
                  <c:v>0.6915362647015787</c:v>
                </c:pt>
                <c:pt idx="25">
                  <c:v>0.71100075091316339</c:v>
                </c:pt>
                <c:pt idx="26">
                  <c:v>0.72968841500907988</c:v>
                </c:pt>
                <c:pt idx="27">
                  <c:v>0.74762032373637732</c:v>
                </c:pt>
                <c:pt idx="28">
                  <c:v>0.76481799713604315</c:v>
                </c:pt>
                <c:pt idx="29">
                  <c:v>0.78130325164032877</c:v>
                </c:pt>
                <c:pt idx="30">
                  <c:v>0.79709806519850435</c:v>
                </c:pt>
                <c:pt idx="31">
                  <c:v>0.81222446139634352</c:v>
                </c:pt>
                <c:pt idx="32">
                  <c:v>0.82670441002240336</c:v>
                </c:pt>
                <c:pt idx="33">
                  <c:v>0.84055974192782656</c:v>
                </c:pt>
                <c:pt idx="34">
                  <c:v>0.85381207634698619</c:v>
                </c:pt>
                <c:pt idx="35">
                  <c:v>0.86648275910968575</c:v>
                </c:pt>
                <c:pt idx="36">
                  <c:v>0.87859281039373427</c:v>
                </c:pt>
                <c:pt idx="37">
                  <c:v>0.89016288084871498</c:v>
                </c:pt>
                <c:pt idx="38">
                  <c:v>0.90121321507468855</c:v>
                </c:pt>
                <c:pt idx="39">
                  <c:v>0.91176362156891622</c:v>
                </c:pt>
                <c:pt idx="40">
                  <c:v>0.92183344836376191</c:v>
                </c:pt>
                <c:pt idx="41">
                  <c:v>0.93144156367312692</c:v>
                </c:pt>
                <c:pt idx="42">
                  <c:v>0.94060634094583617</c:v>
                </c:pt>
                <c:pt idx="43">
                  <c:v>0.94934564779446906</c:v>
                </c:pt>
                <c:pt idx="44">
                  <c:v>0.95767683832899431</c:v>
                </c:pt>
                <c:pt idx="45">
                  <c:v>0.96561674847767842</c:v>
                </c:pt>
                <c:pt idx="46">
                  <c:v>0.9731816939242085</c:v>
                </c:pt>
                <c:pt idx="47">
                  <c:v>0.98038747033084084</c:v>
                </c:pt>
                <c:pt idx="48">
                  <c:v>0.9872493555533981</c:v>
                </c:pt>
                <c:pt idx="49">
                  <c:v>0.99378211358579349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806848"/>
        <c:axId val="145808768"/>
      </c:scatterChart>
      <c:valAx>
        <c:axId val="145806848"/>
        <c:scaling>
          <c:orientation val="minMax"/>
          <c:max val="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Pounds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808768"/>
        <c:crosses val="autoZero"/>
        <c:crossBetween val="midCat"/>
      </c:valAx>
      <c:valAx>
        <c:axId val="1458087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8068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 portability value function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'Man portability'!$A$2:$A$3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'Man portability'!$B$2:$B$3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88032"/>
        <c:axId val="146990208"/>
      </c:lineChart>
      <c:catAx>
        <c:axId val="14698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Able</a:t>
                </a:r>
                <a:r>
                  <a:rPr lang="en-US" baseline="0"/>
                  <a:t> to be carried by a single user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46990208"/>
        <c:crosses val="autoZero"/>
        <c:auto val="0"/>
        <c:lblAlgn val="ctr"/>
        <c:lblOffset val="100"/>
        <c:noMultiLvlLbl val="0"/>
      </c:catAx>
      <c:valAx>
        <c:axId val="1469902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988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Launch method value function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'Launch method'!$A$2:$A$6</c:f>
              <c:strCache>
                <c:ptCount val="5"/>
                <c:pt idx="0">
                  <c:v>Runway</c:v>
                </c:pt>
                <c:pt idx="1">
                  <c:v>Carrier</c:v>
                </c:pt>
                <c:pt idx="2">
                  <c:v>Catapult</c:v>
                </c:pt>
                <c:pt idx="3">
                  <c:v>Hand</c:v>
                </c:pt>
                <c:pt idx="4">
                  <c:v>Vertical</c:v>
                </c:pt>
              </c:strCache>
            </c:strRef>
          </c:cat>
          <c:val>
            <c:numRef>
              <c:f>'Launch method'!$B$2:$B$6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0.8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0128"/>
        <c:axId val="147054592"/>
      </c:lineChart>
      <c:catAx>
        <c:axId val="14704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Launch method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47054592"/>
        <c:crosses val="autoZero"/>
        <c:auto val="0"/>
        <c:lblAlgn val="ctr"/>
        <c:lblOffset val="100"/>
        <c:noMultiLvlLbl val="0"/>
      </c:catAx>
      <c:valAx>
        <c:axId val="14705459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7040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Recovery method value function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'Recovery method'!$A$2:$A$8</c:f>
              <c:strCache>
                <c:ptCount val="7"/>
                <c:pt idx="0">
                  <c:v>Runway</c:v>
                </c:pt>
                <c:pt idx="1">
                  <c:v>Arresting Gear</c:v>
                </c:pt>
                <c:pt idx="2">
                  <c:v>Net</c:v>
                </c:pt>
                <c:pt idx="3">
                  <c:v>Wire</c:v>
                </c:pt>
                <c:pt idx="4">
                  <c:v>Deep Stall</c:v>
                </c:pt>
                <c:pt idx="5">
                  <c:v>Parachute</c:v>
                </c:pt>
                <c:pt idx="6">
                  <c:v>Vertical</c:v>
                </c:pt>
              </c:strCache>
            </c:strRef>
          </c:cat>
          <c:val>
            <c:numRef>
              <c:f>'Recovery method'!$B$2:$B$8</c:f>
              <c:numCache>
                <c:formatCode>General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0.6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12704"/>
        <c:axId val="147114624"/>
      </c:lineChart>
      <c:catAx>
        <c:axId val="14711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Recovery method</a:t>
                </a:r>
              </a:p>
            </c:rich>
          </c:tx>
          <c:layout>
            <c:manualLayout>
              <c:xMode val="edge"/>
              <c:yMode val="edge"/>
              <c:x val="0.38787947886604673"/>
              <c:y val="0.917884728124734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47114624"/>
        <c:crosses val="autoZero"/>
        <c:auto val="0"/>
        <c:lblAlgn val="ctr"/>
        <c:lblOffset val="100"/>
        <c:noMultiLvlLbl val="0"/>
      </c:catAx>
      <c:valAx>
        <c:axId val="14711462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7112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</a:t>
            </a:r>
            <a:r>
              <a:rPr lang="en-US" baseline="0"/>
              <a:t> effectiveness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MoE!$Y$1</c:f>
              <c:strCache>
                <c:ptCount val="1"/>
                <c:pt idx="0">
                  <c:v>Avenger</c:v>
                </c:pt>
              </c:strCache>
            </c:strRef>
          </c:tx>
          <c:yVal>
            <c:numRef>
              <c:f>MoE!$Y$2:$Y$22</c:f>
            </c:numRef>
          </c:yVal>
          <c:smooth val="0"/>
        </c:ser>
        <c:ser>
          <c:idx val="1"/>
          <c:order val="1"/>
          <c:spPr>
            <a:ln>
              <a:noFill/>
            </a:ln>
          </c:spPr>
          <c:dLbls>
            <c:dLbl>
              <c:idx val="0"/>
              <c:layout/>
              <c:tx>
                <c:strRef>
                  <c:f>MoE!$B$1</c:f>
                  <c:strCache>
                    <c:ptCount val="1"/>
                    <c:pt idx="0">
                      <c:v>Predator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MoE!$C$1</c:f>
                  <c:strCache>
                    <c:ptCount val="1"/>
                    <c:pt idx="0">
                      <c:v>Gray Eagle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MoE!$E$1</c:f>
                  <c:strCache>
                    <c:ptCount val="1"/>
                    <c:pt idx="0">
                      <c:v>Global Hawk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MoE!$F$1</c:f>
                  <c:strCache>
                    <c:ptCount val="1"/>
                    <c:pt idx="0">
                      <c:v>Triton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MoE!$G$1</c:f>
                  <c:strCache>
                    <c:ptCount val="1"/>
                    <c:pt idx="0">
                      <c:v>Shadow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MoE!$H$1</c:f>
                  <c:strCache>
                    <c:ptCount val="1"/>
                    <c:pt idx="0">
                      <c:v>Fire Scout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MoE!$I$1</c:f>
                  <c:strCache>
                    <c:ptCount val="1"/>
                    <c:pt idx="0">
                      <c:v>Reaper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MoE!$J$1</c:f>
                  <c:strCache>
                    <c:ptCount val="1"/>
                    <c:pt idx="0">
                      <c:v>Raven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MoE!$K$1</c:f>
                  <c:strCache>
                    <c:ptCount val="1"/>
                    <c:pt idx="0">
                      <c:v>Neptune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MoE!$L$1</c:f>
                  <c:strCache>
                    <c:ptCount val="1"/>
                    <c:pt idx="0">
                      <c:v>T-Hawk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8644539973988609E-3"/>
                  <c:y val="-2.4297992880560556E-2"/>
                </c:manualLayout>
              </c:layout>
              <c:tx>
                <c:strRef>
                  <c:f>MoE!$M$1</c:f>
                  <c:strCache>
                    <c:ptCount val="1"/>
                    <c:pt idx="0">
                      <c:v>Hummingbird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MoE!$O$1</c:f>
                  <c:strCache>
                    <c:ptCount val="1"/>
                    <c:pt idx="0">
                      <c:v>Blackjack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MoE!$P$1</c:f>
                  <c:strCache>
                    <c:ptCount val="1"/>
                    <c:pt idx="0">
                      <c:v>UCAS-D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MoE!$Q$1</c:f>
                  <c:strCache>
                    <c:ptCount val="1"/>
                    <c:pt idx="0">
                      <c:v>Wasp III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MoE!$U$1</c:f>
                  <c:strCache>
                    <c:ptCount val="1"/>
                    <c:pt idx="0">
                      <c:v>PTDS 74K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MoE!$W$1</c:f>
                  <c:strCache>
                    <c:ptCount val="1"/>
                    <c:pt idx="0">
                      <c:v>Cerberus Tower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MoE!$U$1</c:f>
                  <c:strCache>
                    <c:ptCount val="1"/>
                    <c:pt idx="0">
                      <c:v>PTDS 74K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MoE!$X$1</c:f>
                  <c:strCache>
                    <c:ptCount val="1"/>
                    <c:pt idx="0">
                      <c:v>TIF-25K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MoE!$B$16:$X$16</c:f>
              <c:numCache>
                <c:formatCode>0.00</c:formatCode>
                <c:ptCount val="18"/>
                <c:pt idx="0">
                  <c:v>2.0190046678402069</c:v>
                </c:pt>
                <c:pt idx="1">
                  <c:v>4.8089363873716948</c:v>
                </c:pt>
                <c:pt idx="2">
                  <c:v>34.357959906292898</c:v>
                </c:pt>
                <c:pt idx="3">
                  <c:v>26.429602435675921</c:v>
                </c:pt>
                <c:pt idx="4">
                  <c:v>0.85606088618099418</c:v>
                </c:pt>
                <c:pt idx="5">
                  <c:v>3.3834230952380957</c:v>
                </c:pt>
                <c:pt idx="6">
                  <c:v>3.6373688371466542</c:v>
                </c:pt>
                <c:pt idx="7">
                  <c:v>1.496300212946621E-2</c:v>
                </c:pt>
                <c:pt idx="8">
                  <c:v>8.1808722813740617E-2</c:v>
                </c:pt>
                <c:pt idx="9">
                  <c:v>0.14842142332365665</c:v>
                </c:pt>
                <c:pt idx="10">
                  <c:v>2.6566246889867919</c:v>
                </c:pt>
                <c:pt idx="11">
                  <c:v>0.94010418616306357</c:v>
                </c:pt>
                <c:pt idx="12">
                  <c:v>95.447859659285413</c:v>
                </c:pt>
                <c:pt idx="13">
                  <c:v>1.7456835817710577E-2</c:v>
                </c:pt>
                <c:pt idx="14">
                  <c:v>2.5453899682805297</c:v>
                </c:pt>
                <c:pt idx="15">
                  <c:v>9.568514795844546E-2</c:v>
                </c:pt>
                <c:pt idx="16">
                  <c:v>2.7141500472479669E-2</c:v>
                </c:pt>
                <c:pt idx="17">
                  <c:v>0.11711345408399612</c:v>
                </c:pt>
              </c:numCache>
            </c:numRef>
          </c:xVal>
          <c:yVal>
            <c:numRef>
              <c:f>MoE!$B$15:$X$15</c:f>
              <c:numCache>
                <c:formatCode>0.000</c:formatCode>
                <c:ptCount val="18"/>
                <c:pt idx="0">
                  <c:v>0.49100006605087282</c:v>
                </c:pt>
                <c:pt idx="1">
                  <c:v>0.43901335349473808</c:v>
                </c:pt>
                <c:pt idx="2">
                  <c:v>0.49215973688600778</c:v>
                </c:pt>
                <c:pt idx="3">
                  <c:v>0.37321104178228404</c:v>
                </c:pt>
                <c:pt idx="4">
                  <c:v>0.59588383677263179</c:v>
                </c:pt>
                <c:pt idx="5">
                  <c:v>0.68008333733951165</c:v>
                </c:pt>
                <c:pt idx="6">
                  <c:v>0.51906402222577819</c:v>
                </c:pt>
                <c:pt idx="7">
                  <c:v>0.73075703489952826</c:v>
                </c:pt>
                <c:pt idx="8">
                  <c:v>0.66106229908107572</c:v>
                </c:pt>
                <c:pt idx="9">
                  <c:v>0.38929589367448314</c:v>
                </c:pt>
                <c:pt idx="10">
                  <c:v>0.68880185929802218</c:v>
                </c:pt>
                <c:pt idx="11">
                  <c:v>0.55065885694538541</c:v>
                </c:pt>
                <c:pt idx="12">
                  <c:v>0.45260735428802945</c:v>
                </c:pt>
                <c:pt idx="13">
                  <c:v>0.54514514302316297</c:v>
                </c:pt>
                <c:pt idx="14">
                  <c:v>0.62049999999999994</c:v>
                </c:pt>
                <c:pt idx="15">
                  <c:v>0.62049999999999994</c:v>
                </c:pt>
                <c:pt idx="16">
                  <c:v>0.62049999999999994</c:v>
                </c:pt>
                <c:pt idx="17">
                  <c:v>0.57910000153210783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677952"/>
        <c:axId val="147679872"/>
      </c:scatterChart>
      <c:valAx>
        <c:axId val="14767795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Annualized</a:t>
                </a:r>
                <a:r>
                  <a:rPr lang="en-US" sz="1200" baseline="0"/>
                  <a:t> l</a:t>
                </a:r>
                <a:r>
                  <a:rPr lang="en-US" sz="1200"/>
                  <a:t>ife cycle cost ($ mil)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7679872"/>
        <c:crosses val="autoZero"/>
        <c:crossBetween val="midCat"/>
      </c:valAx>
      <c:valAx>
        <c:axId val="147679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Measure</a:t>
                </a:r>
                <a:r>
                  <a:rPr lang="en-US" sz="1200" baseline="0"/>
                  <a:t> of effectiveness</a:t>
                </a:r>
                <a:endParaRPr lang="en-US" sz="1200"/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7677952"/>
        <c:crossesAt val="1.0000000000000002E-3"/>
        <c:crossBetween val="midCat"/>
      </c:valAx>
    </c:plotArea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492107757363663"/>
          <c:y val="0.19480351414406533"/>
          <c:w val="0.6665709755030621"/>
          <c:h val="0.59104512977544477"/>
        </c:manualLayout>
      </c:layout>
      <c:scatterChart>
        <c:scatterStyle val="lineMarker"/>
        <c:varyColors val="0"/>
        <c:ser>
          <c:idx val="3"/>
          <c:order val="0"/>
          <c:tx>
            <c:strRef>
              <c:f>'UAV V(x)'!$A$6</c:f>
              <c:strCache>
                <c:ptCount val="1"/>
                <c:pt idx="0">
                  <c:v>Useful Load</c:v>
                </c:pt>
              </c:strCache>
            </c:strRef>
          </c:tx>
          <c:trendline>
            <c:trendlineType val="poly"/>
            <c:order val="5"/>
            <c:dispRSqr val="1"/>
            <c:dispEq val="1"/>
            <c:trendlineLbl>
              <c:layout>
                <c:manualLayout>
                  <c:x val="0.31571813939924176"/>
                  <c:y val="0.34223352289297171"/>
                </c:manualLayout>
              </c:layout>
              <c:numFmt formatCode="0.000000E+00" sourceLinked="0"/>
            </c:trendlineLbl>
          </c:trendline>
          <c:xVal>
            <c:numRef>
              <c:f>'UAV V(x)'!$E$6:$O$6</c:f>
              <c:numCache>
                <c:formatCode>General</c:formatCode>
                <c:ptCount val="11"/>
                <c:pt idx="0">
                  <c:v>3</c:v>
                </c:pt>
                <c:pt idx="1">
                  <c:v>10</c:v>
                </c:pt>
                <c:pt idx="2">
                  <c:v>25</c:v>
                </c:pt>
                <c:pt idx="3">
                  <c:v>35</c:v>
                </c:pt>
                <c:pt idx="4">
                  <c:v>50</c:v>
                </c:pt>
                <c:pt idx="5">
                  <c:v>70</c:v>
                </c:pt>
                <c:pt idx="6">
                  <c:v>100</c:v>
                </c:pt>
                <c:pt idx="7">
                  <c:v>150</c:v>
                </c:pt>
                <c:pt idx="8">
                  <c:v>220</c:v>
                </c:pt>
                <c:pt idx="9">
                  <c:v>300</c:v>
                </c:pt>
                <c:pt idx="10">
                  <c:v>350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49088"/>
        <c:axId val="146651008"/>
      </c:scatterChart>
      <c:valAx>
        <c:axId val="14664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Useful Load (Pounds)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651008"/>
        <c:crosses val="autoZero"/>
        <c:crossBetween val="midCat"/>
      </c:valAx>
      <c:valAx>
        <c:axId val="146651008"/>
        <c:scaling>
          <c:orientation val="minMax"/>
          <c:max val="1.100000000000000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6490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133985855934679"/>
          <c:y val="0.26557742782152233"/>
          <c:w val="0.26370391277355665"/>
          <c:h val="0.1762835176104664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2200441090696997"/>
          <c:y val="0.19480351414406533"/>
          <c:w val="0.67337653105861772"/>
          <c:h val="0.68387685914260721"/>
        </c:manualLayout>
      </c:layout>
      <c:scatterChart>
        <c:scatterStyle val="lineMarker"/>
        <c:varyColors val="0"/>
        <c:ser>
          <c:idx val="3"/>
          <c:order val="0"/>
          <c:tx>
            <c:strRef>
              <c:f>'UAV V(x)'!$A$7</c:f>
              <c:strCache>
                <c:ptCount val="1"/>
                <c:pt idx="0">
                  <c:v>Ceiling</c:v>
                </c:pt>
              </c:strCache>
            </c:strRef>
          </c:tx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25458442694663169"/>
                  <c:y val="0.39571303587051621"/>
                </c:manualLayout>
              </c:layout>
              <c:numFmt formatCode="0.000000E+00" sourceLinked="0"/>
            </c:trendlineLbl>
          </c:trendline>
          <c:xVal>
            <c:numRef>
              <c:f>'UAV V(x)'!$E$7:$O$7</c:f>
              <c:numCache>
                <c:formatCode>General</c:formatCode>
                <c:ptCount val="11"/>
                <c:pt idx="0">
                  <c:v>0</c:v>
                </c:pt>
                <c:pt idx="1">
                  <c:v>450</c:v>
                </c:pt>
                <c:pt idx="2">
                  <c:v>1000</c:v>
                </c:pt>
                <c:pt idx="3">
                  <c:v>1300</c:v>
                </c:pt>
                <c:pt idx="4">
                  <c:v>1655</c:v>
                </c:pt>
                <c:pt idx="5">
                  <c:v>2100</c:v>
                </c:pt>
                <c:pt idx="6">
                  <c:v>2700</c:v>
                </c:pt>
                <c:pt idx="7">
                  <c:v>3200</c:v>
                </c:pt>
                <c:pt idx="8">
                  <c:v>4000</c:v>
                </c:pt>
                <c:pt idx="9">
                  <c:v>5300</c:v>
                </c:pt>
                <c:pt idx="10">
                  <c:v>6621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64448"/>
        <c:axId val="147600512"/>
      </c:scatterChart>
      <c:valAx>
        <c:axId val="14666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Ceiling (Feet)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7600512"/>
        <c:crosses val="autoZero"/>
        <c:crossBetween val="midCat"/>
      </c:valAx>
      <c:valAx>
        <c:axId val="147600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6664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912935213180436"/>
          <c:y val="0.39025764019584036"/>
          <c:w val="0.19186858979925056"/>
          <c:h val="0.1682075418837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492107757363663"/>
          <c:y val="0.19480351414406533"/>
          <c:w val="0.64874690142898817"/>
          <c:h val="0.59104512977544477"/>
        </c:manualLayout>
      </c:layout>
      <c:scatterChart>
        <c:scatterStyle val="lineMarker"/>
        <c:varyColors val="0"/>
        <c:ser>
          <c:idx val="3"/>
          <c:order val="0"/>
          <c:tx>
            <c:strRef>
              <c:f>'UAV V(x)'!$A$8</c:f>
              <c:strCache>
                <c:ptCount val="1"/>
                <c:pt idx="0">
                  <c:v>Endurance</c:v>
                </c:pt>
              </c:strCache>
            </c:strRef>
          </c:tx>
          <c:trendline>
            <c:trendlineType val="poly"/>
            <c:order val="6"/>
            <c:intercept val="0"/>
            <c:dispRSqr val="1"/>
            <c:dispEq val="1"/>
            <c:trendlineLbl>
              <c:layout>
                <c:manualLayout>
                  <c:x val="0.39951808107319919"/>
                  <c:y val="0.35149278215223095"/>
                </c:manualLayout>
              </c:layout>
              <c:numFmt formatCode="0.0000E+00" sourceLinked="0"/>
            </c:trendlineLbl>
          </c:trendline>
          <c:xVal>
            <c:numRef>
              <c:f>'UAV V(x)'!$E$8:$O$8</c:f>
              <c:numCache>
                <c:formatCode>General</c:formatCode>
                <c:ptCount val="1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86</c:v>
                </c:pt>
                <c:pt idx="6">
                  <c:v>168</c:v>
                </c:pt>
                <c:pt idx="7">
                  <c:v>250</c:v>
                </c:pt>
                <c:pt idx="8">
                  <c:v>350</c:v>
                </c:pt>
                <c:pt idx="9">
                  <c:v>420</c:v>
                </c:pt>
                <c:pt idx="10">
                  <c:v>504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638528"/>
        <c:axId val="147521920"/>
      </c:scatterChart>
      <c:valAx>
        <c:axId val="14763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Endurance (Hours)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7521920"/>
        <c:crosses val="autoZero"/>
        <c:crossBetween val="midCat"/>
      </c:valAx>
      <c:valAx>
        <c:axId val="147521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7638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5117946194225726"/>
          <c:y val="0.29353966170895307"/>
          <c:w val="0.2349316491688539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'UAV V(x)'!$A$9</c:f>
              <c:strCache>
                <c:ptCount val="1"/>
                <c:pt idx="0">
                  <c:v>Range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35525079548016936"/>
                  <c:y val="0.47643506733468882"/>
                </c:manualLayout>
              </c:layout>
              <c:numFmt formatCode="0.0000E+00" sourceLinked="0"/>
            </c:trendlineLbl>
          </c:trendline>
          <c:xVal>
            <c:numRef>
              <c:f>'UAV V(x)'!$E$9:$O$9</c:f>
              <c:numCache>
                <c:formatCode>General</c:formatCode>
                <c:ptCount val="11"/>
                <c:pt idx="0">
                  <c:v>0</c:v>
                </c:pt>
                <c:pt idx="10">
                  <c:v>100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39456"/>
        <c:axId val="147541376"/>
      </c:scatterChart>
      <c:valAx>
        <c:axId val="14753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 (nm)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7541376"/>
        <c:crosses val="autoZero"/>
        <c:crossBetween val="midCat"/>
      </c:valAx>
      <c:valAx>
        <c:axId val="14754137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7539456"/>
        <c:crosses val="autoZero"/>
        <c:crossBetween val="midCat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92107757363663"/>
          <c:y val="0.19480351414406533"/>
          <c:w val="0.70181430446194226"/>
          <c:h val="0.59104512977544477"/>
        </c:manualLayout>
      </c:layout>
      <c:scatterChart>
        <c:scatterStyle val="lineMarker"/>
        <c:varyColors val="0"/>
        <c:ser>
          <c:idx val="3"/>
          <c:order val="0"/>
          <c:tx>
            <c:strRef>
              <c:f>'UAV V(x)'!$A$10</c:f>
              <c:strCache>
                <c:ptCount val="1"/>
                <c:pt idx="0">
                  <c:v>Cruise Speed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33486585010207059"/>
                  <c:y val="0.38390018955963839"/>
                </c:manualLayout>
              </c:layout>
              <c:numFmt formatCode="0.0000E+00" sourceLinked="0"/>
            </c:trendlineLbl>
          </c:trendline>
          <c:xVal>
            <c:numRef>
              <c:f>'UAV V(x)'!$E$10:$O$10</c:f>
              <c:numCache>
                <c:formatCode>General</c:formatCode>
                <c:ptCount val="11"/>
                <c:pt idx="0">
                  <c:v>40</c:v>
                </c:pt>
                <c:pt idx="10">
                  <c:v>200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46976"/>
        <c:axId val="148048896"/>
      </c:scatterChart>
      <c:valAx>
        <c:axId val="14804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Max</a:t>
                </a:r>
                <a:r>
                  <a:rPr lang="en-US" baseline="0"/>
                  <a:t> Cruise Speed (</a:t>
                </a:r>
                <a:r>
                  <a:rPr lang="en-US"/>
                  <a:t>knots)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048896"/>
        <c:crosses val="autoZero"/>
        <c:crossBetween val="midCat"/>
      </c:valAx>
      <c:valAx>
        <c:axId val="14804889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046976"/>
        <c:crosses val="autoZero"/>
        <c:crossBetween val="midCat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Technology Maturity Level</a:t>
            </a:r>
          </a:p>
        </c:rich>
      </c:tx>
      <c:layout>
        <c:manualLayout>
          <c:xMode val="edge"/>
          <c:yMode val="edge"/>
          <c:x val="0.2526016260162601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826451571602328E-2"/>
          <c:y val="0.19372725163498208"/>
          <c:w val="0.79356700204141151"/>
          <c:h val="0.69093364365365928"/>
        </c:manualLayout>
      </c:layout>
      <c:scatterChart>
        <c:scatterStyle val="lineMarker"/>
        <c:varyColors val="0"/>
        <c:ser>
          <c:idx val="3"/>
          <c:order val="0"/>
          <c:tx>
            <c:strRef>
              <c:f>'UAV V(x)'!$A$12</c:f>
              <c:strCache>
                <c:ptCount val="1"/>
                <c:pt idx="0">
                  <c:v>Technology Maturity Level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18123942840478274"/>
                  <c:y val="0.33405037911927676"/>
                </c:manualLayout>
              </c:layout>
              <c:numFmt formatCode="General" sourceLinked="0"/>
            </c:trendlineLbl>
          </c:trendline>
          <c:xVal>
            <c:numRef>
              <c:f>'UAV V(x)'!$E$12:$O$12</c:f>
              <c:numCache>
                <c:formatCode>General</c:formatCode>
                <c:ptCount val="11"/>
                <c:pt idx="0">
                  <c:v>-3</c:v>
                </c:pt>
                <c:pt idx="10">
                  <c:v>7</c:v>
                </c:pt>
              </c:numCache>
            </c:numRef>
          </c:xVal>
          <c:yVal>
            <c:numRef>
              <c:f>'UAV V(x)'!$E$2:$O$2</c:f>
              <c:numCache>
                <c:formatCode>_(* #,##0.00_);_(* \(#,##0.00\);_(* "-"??_);_(@_)</c:formatCode>
                <c:ptCount val="11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87552"/>
        <c:axId val="148089472"/>
      </c:scatterChart>
      <c:valAx>
        <c:axId val="14808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in Service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089472"/>
        <c:crosses val="autoZero"/>
        <c:crossBetween val="midCat"/>
        <c:majorUnit val="1"/>
      </c:valAx>
      <c:valAx>
        <c:axId val="14808947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087552"/>
        <c:crosses val="autoZero"/>
        <c:crossBetween val="midCat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0844233012540094"/>
          <c:y val="0.42835119568387287"/>
          <c:w val="0.391557669874599"/>
          <c:h val="0.106324001166520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Ceiling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Ceiling!$A$2:$A$12</c:f>
              <c:numCache>
                <c:formatCode>General</c:formatCode>
                <c:ptCount val="11"/>
                <c:pt idx="0">
                  <c:v>999</c:v>
                </c:pt>
                <c:pt idx="1">
                  <c:v>999</c:v>
                </c:pt>
                <c:pt idx="2">
                  <c:v>999</c:v>
                </c:pt>
                <c:pt idx="3">
                  <c:v>1000</c:v>
                </c:pt>
                <c:pt idx="4">
                  <c:v>1001</c:v>
                </c:pt>
                <c:pt idx="5">
                  <c:v>1001</c:v>
                </c:pt>
                <c:pt idx="6">
                  <c:v>1001</c:v>
                </c:pt>
                <c:pt idx="7">
                  <c:v>1001</c:v>
                </c:pt>
                <c:pt idx="8">
                  <c:v>1001</c:v>
                </c:pt>
                <c:pt idx="9">
                  <c:v>1001</c:v>
                </c:pt>
                <c:pt idx="10">
                  <c:v>1001</c:v>
                </c:pt>
              </c:numCache>
            </c:numRef>
          </c:xVal>
          <c:yVal>
            <c:numRef>
              <c:f>Ceiling!$B$2:$B$12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Ceiling!$S$4:$S$105</c:f>
              <c:numCache>
                <c:formatCode>General</c:formatCode>
                <c:ptCount val="102"/>
                <c:pt idx="0">
                  <c:v>999</c:v>
                </c:pt>
                <c:pt idx="1">
                  <c:v>999.04</c:v>
                </c:pt>
                <c:pt idx="2">
                  <c:v>999.07999999999993</c:v>
                </c:pt>
                <c:pt idx="3">
                  <c:v>999.11999999999989</c:v>
                </c:pt>
                <c:pt idx="4">
                  <c:v>999.15999999999985</c:v>
                </c:pt>
                <c:pt idx="5">
                  <c:v>999.19999999999982</c:v>
                </c:pt>
                <c:pt idx="6">
                  <c:v>999.23999999999978</c:v>
                </c:pt>
                <c:pt idx="7">
                  <c:v>999.27999999999975</c:v>
                </c:pt>
                <c:pt idx="8">
                  <c:v>999.31999999999971</c:v>
                </c:pt>
                <c:pt idx="9">
                  <c:v>999.35999999999967</c:v>
                </c:pt>
                <c:pt idx="10">
                  <c:v>999.39999999999964</c:v>
                </c:pt>
                <c:pt idx="11">
                  <c:v>999.4399999999996</c:v>
                </c:pt>
                <c:pt idx="12">
                  <c:v>999.47999999999956</c:v>
                </c:pt>
                <c:pt idx="13">
                  <c:v>999.51999999999953</c:v>
                </c:pt>
                <c:pt idx="14">
                  <c:v>999.55999999999949</c:v>
                </c:pt>
                <c:pt idx="15">
                  <c:v>999.59999999999945</c:v>
                </c:pt>
                <c:pt idx="16">
                  <c:v>999.63999999999942</c:v>
                </c:pt>
                <c:pt idx="17">
                  <c:v>999.67999999999938</c:v>
                </c:pt>
                <c:pt idx="18">
                  <c:v>999.71999999999935</c:v>
                </c:pt>
                <c:pt idx="19">
                  <c:v>999.75999999999931</c:v>
                </c:pt>
                <c:pt idx="20">
                  <c:v>999.79999999999927</c:v>
                </c:pt>
                <c:pt idx="21">
                  <c:v>999.83999999999924</c:v>
                </c:pt>
                <c:pt idx="22">
                  <c:v>999.8799999999992</c:v>
                </c:pt>
                <c:pt idx="23">
                  <c:v>999.91999999999916</c:v>
                </c:pt>
                <c:pt idx="24">
                  <c:v>999.95999999999913</c:v>
                </c:pt>
                <c:pt idx="25">
                  <c:v>999.99999999999909</c:v>
                </c:pt>
                <c:pt idx="26">
                  <c:v>1000.0399999999991</c:v>
                </c:pt>
                <c:pt idx="27">
                  <c:v>1000.079999999999</c:v>
                </c:pt>
                <c:pt idx="28">
                  <c:v>1000.119999999999</c:v>
                </c:pt>
                <c:pt idx="29">
                  <c:v>1000.1599999999989</c:v>
                </c:pt>
                <c:pt idx="30">
                  <c:v>1000.1999999999989</c:v>
                </c:pt>
                <c:pt idx="31">
                  <c:v>1000.2399999999989</c:v>
                </c:pt>
                <c:pt idx="32">
                  <c:v>1000.2799999999988</c:v>
                </c:pt>
                <c:pt idx="33">
                  <c:v>1000.3199999999988</c:v>
                </c:pt>
                <c:pt idx="34">
                  <c:v>1000.3599999999988</c:v>
                </c:pt>
                <c:pt idx="35">
                  <c:v>1000.3999999999987</c:v>
                </c:pt>
                <c:pt idx="36">
                  <c:v>1000.4399999999987</c:v>
                </c:pt>
                <c:pt idx="37">
                  <c:v>1000.4799999999987</c:v>
                </c:pt>
                <c:pt idx="38">
                  <c:v>1000.5199999999986</c:v>
                </c:pt>
                <c:pt idx="39">
                  <c:v>1000.5599999999986</c:v>
                </c:pt>
                <c:pt idx="40">
                  <c:v>1000.5999999999985</c:v>
                </c:pt>
                <c:pt idx="41">
                  <c:v>1000.6399999999985</c:v>
                </c:pt>
                <c:pt idx="42">
                  <c:v>1000.6799999999985</c:v>
                </c:pt>
                <c:pt idx="43">
                  <c:v>1000.7199999999984</c:v>
                </c:pt>
                <c:pt idx="44">
                  <c:v>1000.7599999999984</c:v>
                </c:pt>
                <c:pt idx="45">
                  <c:v>1000.7999999999984</c:v>
                </c:pt>
                <c:pt idx="46">
                  <c:v>1000.8399999999983</c:v>
                </c:pt>
                <c:pt idx="47">
                  <c:v>1000.8799999999983</c:v>
                </c:pt>
                <c:pt idx="48">
                  <c:v>1000.9199999999983</c:v>
                </c:pt>
                <c:pt idx="49">
                  <c:v>1000.9599999999982</c:v>
                </c:pt>
                <c:pt idx="50">
                  <c:v>1000.9999999999982</c:v>
                </c:pt>
                <c:pt idx="51">
                  <c:v>1001.0399999999981</c:v>
                </c:pt>
                <c:pt idx="52">
                  <c:v>1001.0799999999981</c:v>
                </c:pt>
                <c:pt idx="53">
                  <c:v>1001.1199999999981</c:v>
                </c:pt>
                <c:pt idx="54">
                  <c:v>1001.159999999998</c:v>
                </c:pt>
                <c:pt idx="55">
                  <c:v>1001.199999999998</c:v>
                </c:pt>
                <c:pt idx="56">
                  <c:v>1001.239999999998</c:v>
                </c:pt>
                <c:pt idx="57">
                  <c:v>1001.2799999999979</c:v>
                </c:pt>
                <c:pt idx="58">
                  <c:v>1001.3199999999979</c:v>
                </c:pt>
                <c:pt idx="59">
                  <c:v>1001.3599999999979</c:v>
                </c:pt>
                <c:pt idx="60">
                  <c:v>1001.3999999999978</c:v>
                </c:pt>
                <c:pt idx="61">
                  <c:v>1001.4399999999978</c:v>
                </c:pt>
                <c:pt idx="62">
                  <c:v>1001.4799999999977</c:v>
                </c:pt>
                <c:pt idx="63">
                  <c:v>1001.5199999999977</c:v>
                </c:pt>
                <c:pt idx="64">
                  <c:v>1001.5599999999977</c:v>
                </c:pt>
                <c:pt idx="65">
                  <c:v>1001.5999999999976</c:v>
                </c:pt>
                <c:pt idx="66">
                  <c:v>1001.6399999999976</c:v>
                </c:pt>
                <c:pt idx="67">
                  <c:v>1001.6799999999976</c:v>
                </c:pt>
                <c:pt idx="68">
                  <c:v>1001.7199999999975</c:v>
                </c:pt>
                <c:pt idx="69">
                  <c:v>1001.7599999999975</c:v>
                </c:pt>
                <c:pt idx="70">
                  <c:v>1001.7999999999975</c:v>
                </c:pt>
                <c:pt idx="71">
                  <c:v>1001.8399999999974</c:v>
                </c:pt>
                <c:pt idx="72">
                  <c:v>1001.8799999999974</c:v>
                </c:pt>
                <c:pt idx="73">
                  <c:v>1001.9199999999973</c:v>
                </c:pt>
                <c:pt idx="74">
                  <c:v>1001.9599999999973</c:v>
                </c:pt>
                <c:pt idx="75">
                  <c:v>1001.9999999999973</c:v>
                </c:pt>
                <c:pt idx="76">
                  <c:v>1002.0399999999972</c:v>
                </c:pt>
                <c:pt idx="77">
                  <c:v>1002.0799999999972</c:v>
                </c:pt>
                <c:pt idx="78">
                  <c:v>1002.1199999999972</c:v>
                </c:pt>
                <c:pt idx="79">
                  <c:v>1002.1599999999971</c:v>
                </c:pt>
                <c:pt idx="80">
                  <c:v>1002.1999999999971</c:v>
                </c:pt>
                <c:pt idx="81">
                  <c:v>1002.2399999999971</c:v>
                </c:pt>
                <c:pt idx="82">
                  <c:v>1002.279999999997</c:v>
                </c:pt>
                <c:pt idx="83">
                  <c:v>1002.319999999997</c:v>
                </c:pt>
                <c:pt idx="84">
                  <c:v>1002.3599999999969</c:v>
                </c:pt>
                <c:pt idx="85">
                  <c:v>1002.3999999999969</c:v>
                </c:pt>
                <c:pt idx="86">
                  <c:v>1002.4399999999969</c:v>
                </c:pt>
                <c:pt idx="87">
                  <c:v>1002.4799999999968</c:v>
                </c:pt>
                <c:pt idx="88">
                  <c:v>1002.5199999999968</c:v>
                </c:pt>
                <c:pt idx="89">
                  <c:v>1002.5599999999968</c:v>
                </c:pt>
                <c:pt idx="90">
                  <c:v>1002.5999999999967</c:v>
                </c:pt>
                <c:pt idx="91">
                  <c:v>1002.6399999999967</c:v>
                </c:pt>
                <c:pt idx="92">
                  <c:v>1002.6799999999967</c:v>
                </c:pt>
                <c:pt idx="93">
                  <c:v>1002.7199999999966</c:v>
                </c:pt>
                <c:pt idx="94">
                  <c:v>1002.7599999999966</c:v>
                </c:pt>
                <c:pt idx="95">
                  <c:v>1002.7999999999965</c:v>
                </c:pt>
                <c:pt idx="96">
                  <c:v>1002.8399999999965</c:v>
                </c:pt>
                <c:pt idx="97">
                  <c:v>1002.8799999999965</c:v>
                </c:pt>
                <c:pt idx="98">
                  <c:v>1002.9199999999964</c:v>
                </c:pt>
                <c:pt idx="99">
                  <c:v>1002.9599999999964</c:v>
                </c:pt>
                <c:pt idx="100">
                  <c:v>1002.9999999999964</c:v>
                </c:pt>
                <c:pt idx="101">
                  <c:v>1003.0399999999963</c:v>
                </c:pt>
              </c:numCache>
            </c:numRef>
          </c:xVal>
          <c:yVal>
            <c:numRef>
              <c:f>Ceiling!$T$4:$T$105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2.0000001887379163E-2</c:v>
                </c:pt>
                <c:pt idx="2">
                  <c:v>3.9999998223643141E-2</c:v>
                </c:pt>
                <c:pt idx="3">
                  <c:v>6.00000001110223E-2</c:v>
                </c:pt>
                <c:pt idx="4">
                  <c:v>8.000000199840146E-2</c:v>
                </c:pt>
                <c:pt idx="5">
                  <c:v>9.9999998334665441E-2</c:v>
                </c:pt>
                <c:pt idx="6">
                  <c:v>0.1200000002220446</c:v>
                </c:pt>
                <c:pt idx="7">
                  <c:v>0.14000000210942376</c:v>
                </c:pt>
                <c:pt idx="8">
                  <c:v>0.16000000399680292</c:v>
                </c:pt>
                <c:pt idx="9">
                  <c:v>0.1800000003330669</c:v>
                </c:pt>
                <c:pt idx="10">
                  <c:v>0.20000000222044606</c:v>
                </c:pt>
                <c:pt idx="11">
                  <c:v>0.22000000410782522</c:v>
                </c:pt>
                <c:pt idx="12">
                  <c:v>0.2400000004440892</c:v>
                </c:pt>
                <c:pt idx="13">
                  <c:v>0.26000000233146836</c:v>
                </c:pt>
                <c:pt idx="14">
                  <c:v>0.28000000421884752</c:v>
                </c:pt>
                <c:pt idx="15">
                  <c:v>0.3000000005551115</c:v>
                </c:pt>
                <c:pt idx="16">
                  <c:v>0.32000000244249066</c:v>
                </c:pt>
                <c:pt idx="17">
                  <c:v>0.34000000432986982</c:v>
                </c:pt>
                <c:pt idx="18">
                  <c:v>0.3600000006661338</c:v>
                </c:pt>
                <c:pt idx="19">
                  <c:v>0.38000000255351296</c:v>
                </c:pt>
                <c:pt idx="20">
                  <c:v>0.40000000444089212</c:v>
                </c:pt>
                <c:pt idx="21">
                  <c:v>0.4200000007771561</c:v>
                </c:pt>
                <c:pt idx="22">
                  <c:v>0.44000000266453526</c:v>
                </c:pt>
                <c:pt idx="23">
                  <c:v>0.46000000455191442</c:v>
                </c:pt>
                <c:pt idx="24">
                  <c:v>0.4800000008881784</c:v>
                </c:pt>
                <c:pt idx="25">
                  <c:v>0.50000000277555756</c:v>
                </c:pt>
                <c:pt idx="26">
                  <c:v>0.52000000466293672</c:v>
                </c:pt>
                <c:pt idx="27">
                  <c:v>0.54000000099920076</c:v>
                </c:pt>
                <c:pt idx="28">
                  <c:v>0.56000000288657992</c:v>
                </c:pt>
                <c:pt idx="29">
                  <c:v>0.58000000477395908</c:v>
                </c:pt>
                <c:pt idx="30">
                  <c:v>0.600000001110223</c:v>
                </c:pt>
                <c:pt idx="31">
                  <c:v>0.62000000299760216</c:v>
                </c:pt>
                <c:pt idx="32">
                  <c:v>0.64000000488498132</c:v>
                </c:pt>
                <c:pt idx="33">
                  <c:v>0.66000000122124536</c:v>
                </c:pt>
                <c:pt idx="34">
                  <c:v>0.68000000310862452</c:v>
                </c:pt>
                <c:pt idx="35">
                  <c:v>0.70000000499600368</c:v>
                </c:pt>
                <c:pt idx="36">
                  <c:v>0.7200000013322676</c:v>
                </c:pt>
                <c:pt idx="37">
                  <c:v>0.74000000321964676</c:v>
                </c:pt>
                <c:pt idx="38">
                  <c:v>0.76000000510702592</c:v>
                </c:pt>
                <c:pt idx="39">
                  <c:v>0.78000000144328996</c:v>
                </c:pt>
                <c:pt idx="40">
                  <c:v>0.80000000333066912</c:v>
                </c:pt>
                <c:pt idx="41">
                  <c:v>0.82000000521804828</c:v>
                </c:pt>
                <c:pt idx="42">
                  <c:v>0.8400000015543122</c:v>
                </c:pt>
                <c:pt idx="43">
                  <c:v>0.86000000344169136</c:v>
                </c:pt>
                <c:pt idx="44">
                  <c:v>0.8799999997779554</c:v>
                </c:pt>
                <c:pt idx="45">
                  <c:v>0.90000000166533456</c:v>
                </c:pt>
                <c:pt idx="46">
                  <c:v>0.92000000355271372</c:v>
                </c:pt>
                <c:pt idx="47">
                  <c:v>0.93999999988897764</c:v>
                </c:pt>
                <c:pt idx="48">
                  <c:v>0.9600000017763568</c:v>
                </c:pt>
                <c:pt idx="49">
                  <c:v>0.98000000366373596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863808"/>
        <c:axId val="145865728"/>
      </c:scatterChart>
      <c:valAx>
        <c:axId val="145863808"/>
        <c:scaling>
          <c:orientation val="minMax"/>
          <c:max val="2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Feet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865728"/>
        <c:crosses val="autoZero"/>
        <c:crossBetween val="midCat"/>
      </c:valAx>
      <c:valAx>
        <c:axId val="1458657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8638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HADR Aerial Platform Importance Weights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'UAV V(x)'!$B$2</c:f>
              <c:strCache>
                <c:ptCount val="1"/>
                <c:pt idx="0">
                  <c:v>Weights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8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'UAV V(x)'!$A$3:$A$17</c:f>
              <c:strCache>
                <c:ptCount val="15"/>
                <c:pt idx="0">
                  <c:v>Man Portable</c:v>
                </c:pt>
                <c:pt idx="1">
                  <c:v>Launch Method</c:v>
                </c:pt>
                <c:pt idx="2">
                  <c:v>Rec. Method</c:v>
                </c:pt>
                <c:pt idx="3">
                  <c:v>Useful Load</c:v>
                </c:pt>
                <c:pt idx="4">
                  <c:v>Ceiling</c:v>
                </c:pt>
                <c:pt idx="5">
                  <c:v>Endurance</c:v>
                </c:pt>
                <c:pt idx="6">
                  <c:v>Range</c:v>
                </c:pt>
                <c:pt idx="7">
                  <c:v>Cruise Speed</c:v>
                </c:pt>
                <c:pt idx="8">
                  <c:v>Mishap Rate per 100k hr</c:v>
                </c:pt>
                <c:pt idx="9">
                  <c:v>Technology Maturity Level</c:v>
                </c:pt>
                <c:pt idx="10">
                  <c:v>All-Weather Capable</c:v>
                </c:pt>
                <c:pt idx="11">
                  <c:v>Availability</c:v>
                </c:pt>
                <c:pt idx="12">
                  <c:v>Radar Cross-section</c:v>
                </c:pt>
                <c:pt idx="13">
                  <c:v>Observability</c:v>
                </c:pt>
                <c:pt idx="14">
                  <c:v>Countermeasures</c:v>
                </c:pt>
              </c:strCache>
            </c:strRef>
          </c:cat>
          <c:val>
            <c:numRef>
              <c:f>'UAV V(x)'!$B$3:$B$17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0.3</c:v>
                </c:pt>
                <c:pt idx="5">
                  <c:v>0.2</c:v>
                </c:pt>
                <c:pt idx="6">
                  <c:v>0.1</c:v>
                </c:pt>
                <c:pt idx="7">
                  <c:v>0.1</c:v>
                </c:pt>
                <c:pt idx="8">
                  <c:v>0</c:v>
                </c:pt>
                <c:pt idx="9">
                  <c:v>0.1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</a:t>
            </a:r>
            <a:r>
              <a:rPr lang="en-US" baseline="0"/>
              <a:t> </a:t>
            </a:r>
            <a:r>
              <a:rPr lang="en-US"/>
              <a:t>- HADR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4622156605424326E-2"/>
          <c:y val="0.12228293825957021"/>
          <c:w val="0.86922626859142604"/>
          <c:h val="0.76472993860119576"/>
        </c:manualLayout>
      </c:layout>
      <c:scatterChart>
        <c:scatterStyle val="lineMarker"/>
        <c:varyColors val="1"/>
        <c:ser>
          <c:idx val="0"/>
          <c:order val="0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7.9169891899105838E-2"/>
                  <c:y val="-3.239816059577918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MOE'!$D$2</c:f>
              <c:strCache>
                <c:ptCount val="1"/>
                <c:pt idx="0">
                  <c:v>Gray Eagle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MOE'!$D$18</c:f>
              <c:numCache>
                <c:formatCode>0.00</c:formatCode>
                <c:ptCount val="1"/>
                <c:pt idx="0">
                  <c:v>4.8089363873716948</c:v>
                </c:pt>
              </c:numCache>
            </c:numRef>
          </c:xVal>
          <c:yVal>
            <c:numRef>
              <c:f>'UAV MOE'!$D$1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'UAV MOE'!$G$2</c:f>
              <c:strCache>
                <c:ptCount val="1"/>
                <c:pt idx="0">
                  <c:v>Triton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8155935636250597E-3"/>
                  <c:y val="-1.695755508759079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MOE'!$G$18</c:f>
              <c:numCache>
                <c:formatCode>0.00</c:formatCode>
                <c:ptCount val="1"/>
                <c:pt idx="0">
                  <c:v>26.429602435675921</c:v>
                </c:pt>
              </c:numCache>
            </c:numRef>
          </c:xVal>
          <c:yVal>
            <c:numRef>
              <c:f>'UAV MOE'!$G$1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'UAV MOE'!$H$2</c:f>
              <c:strCache>
                <c:ptCount val="1"/>
                <c:pt idx="0">
                  <c:v>Shadow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MOE'!$H$18</c:f>
              <c:numCache>
                <c:formatCode>0.00</c:formatCode>
                <c:ptCount val="1"/>
                <c:pt idx="0">
                  <c:v>0.85606088618099418</c:v>
                </c:pt>
              </c:numCache>
            </c:numRef>
          </c:xVal>
          <c:yVal>
            <c:numRef>
              <c:f>'UAV MOE'!$H$1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'UAV MOE'!$I$2</c:f>
              <c:strCache>
                <c:ptCount val="1"/>
                <c:pt idx="0">
                  <c:v>Fire Scout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3889071157771946E-2"/>
                  <c:y val="-3.876038932633420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MOE'!$I$18</c:f>
              <c:numCache>
                <c:formatCode>0.00</c:formatCode>
                <c:ptCount val="1"/>
                <c:pt idx="0">
                  <c:v>3.3834230952380957</c:v>
                </c:pt>
              </c:numCache>
            </c:numRef>
          </c:xVal>
          <c:yVal>
            <c:numRef>
              <c:f>'UAV MOE'!$I$1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'UAV MOE'!$K$2</c:f>
              <c:strCache>
                <c:ptCount val="1"/>
                <c:pt idx="0">
                  <c:v>Raven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3.3898305084745749E-2"/>
                  <c:y val="-3.694773264378285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MOE'!$K$18</c:f>
              <c:numCache>
                <c:formatCode>0.00</c:formatCode>
                <c:ptCount val="1"/>
                <c:pt idx="0">
                  <c:v>1.496300212946621E-2</c:v>
                </c:pt>
              </c:numCache>
            </c:numRef>
          </c:xVal>
          <c:yVal>
            <c:numRef>
              <c:f>'UAV MOE'!$K$1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0"/>
          <c:order val="8"/>
          <c:tx>
            <c:strRef>
              <c:f>'UAV MOE'!$N$2</c:f>
              <c:strCache>
                <c:ptCount val="1"/>
                <c:pt idx="0">
                  <c:v>Hummingbird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1270414114902304E-2"/>
                  <c:y val="2.742727471566054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MOE'!$N$18</c:f>
              <c:numCache>
                <c:formatCode>0.00</c:formatCode>
                <c:ptCount val="1"/>
                <c:pt idx="0">
                  <c:v>2.6566246889867919</c:v>
                </c:pt>
              </c:numCache>
            </c:numRef>
          </c:xVal>
          <c:yVal>
            <c:numRef>
              <c:f>'UAV MOE'!$N$1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1"/>
          <c:order val="9"/>
          <c:tx>
            <c:strRef>
              <c:f>'UAV MOE'!$P$2</c:f>
              <c:strCache>
                <c:ptCount val="1"/>
                <c:pt idx="0">
                  <c:v>Blackjack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MOE'!$P$18</c:f>
              <c:numCache>
                <c:formatCode>0.00</c:formatCode>
                <c:ptCount val="1"/>
                <c:pt idx="0">
                  <c:v>0.94010418616306357</c:v>
                </c:pt>
              </c:numCache>
            </c:numRef>
          </c:xVal>
          <c:yVal>
            <c:numRef>
              <c:f>'UAV MOE'!$P$1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3"/>
          <c:order val="10"/>
          <c:tx>
            <c:strRef>
              <c:f>'UAV MOE'!$R$2</c:f>
              <c:strCache>
                <c:ptCount val="1"/>
                <c:pt idx="0">
                  <c:v>Wasp III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1299435028248588E-2"/>
                  <c:y val="2.675681690528926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MOE'!$R$18</c:f>
              <c:numCache>
                <c:formatCode>0.00</c:formatCode>
                <c:ptCount val="1"/>
                <c:pt idx="0">
                  <c:v>1.7456835817710577E-2</c:v>
                </c:pt>
              </c:numCache>
            </c:numRef>
          </c:xVal>
          <c:yVal>
            <c:numRef>
              <c:f>'UAV MOE'!$R$1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4"/>
          <c:order val="11"/>
          <c:tx>
            <c:strRef>
              <c:f>'UAV MOE'!$V$2</c:f>
              <c:strCache>
                <c:ptCount val="1"/>
                <c:pt idx="0">
                  <c:v>PTDS 74K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2925506707494888"/>
                  <c:y val="-9.217246281714785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MOE'!$V$18</c:f>
              <c:numCache>
                <c:formatCode>0.00</c:formatCode>
                <c:ptCount val="1"/>
                <c:pt idx="0">
                  <c:v>2.5453899682805297</c:v>
                </c:pt>
              </c:numCache>
            </c:numRef>
          </c:xVal>
          <c:yVal>
            <c:numRef>
              <c:f>'UAV MOE'!$V$1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5"/>
          <c:order val="12"/>
          <c:tx>
            <c:strRef>
              <c:f>'UAV MOE'!$W$2</c:f>
              <c:strCache>
                <c:ptCount val="1"/>
                <c:pt idx="0">
                  <c:v>RAID Tower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3.4525652631918624E-17"/>
                  <c:y val="-2.344049515607045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MOE'!$W$18</c:f>
              <c:numCache>
                <c:formatCode>0.00</c:formatCode>
                <c:ptCount val="1"/>
                <c:pt idx="0">
                  <c:v>9.568514795844546E-2</c:v>
                </c:pt>
              </c:numCache>
            </c:numRef>
          </c:xVal>
          <c:yVal>
            <c:numRef>
              <c:f>'UAV MOE'!$W$1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6"/>
          <c:order val="13"/>
          <c:tx>
            <c:strRef>
              <c:f>'UAV MOE'!$X$2</c:f>
              <c:strCache>
                <c:ptCount val="1"/>
                <c:pt idx="0">
                  <c:v>Cerberus Tower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4161958568738224E-3"/>
                  <c:y val="2.00918529909175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MOE'!$X$18</c:f>
              <c:numCache>
                <c:formatCode>0.00</c:formatCode>
                <c:ptCount val="1"/>
                <c:pt idx="0">
                  <c:v>2.7141500472479669E-2</c:v>
                </c:pt>
              </c:numCache>
            </c:numRef>
          </c:xVal>
          <c:yVal>
            <c:numRef>
              <c:f>'UAV MOE'!$X$1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7"/>
          <c:order val="14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48171776"/>
        <c:axId val="153355392"/>
      </c:scatterChart>
      <c:valAx>
        <c:axId val="148171776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Annualized LLC (BY 2013 $M)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in"/>
        <c:tickLblPos val="nextTo"/>
        <c:crossAx val="153355392"/>
        <c:crosses val="autoZero"/>
        <c:crossBetween val="midCat"/>
        <c:minorUnit val="10"/>
      </c:valAx>
      <c:valAx>
        <c:axId val="15335539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crossAx val="148171776"/>
        <c:crossesAt val="1.0000000000000002E-2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4324511519393408E-2"/>
          <c:y val="0.12228293825957021"/>
          <c:w val="0.86952391367745696"/>
          <c:h val="0.76785529543027309"/>
        </c:manualLayout>
      </c:layout>
      <c:scatterChart>
        <c:scatterStyle val="lineMarker"/>
        <c:varyColors val="1"/>
        <c:ser>
          <c:idx val="17"/>
          <c:order val="0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2590277777777778"/>
                  <c:y val="-3.82819335083114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'UAV MOE'!$X$2</c:f>
              <c:strCache>
                <c:ptCount val="1"/>
                <c:pt idx="0">
                  <c:v>Cerberus Tower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MOE'!$X$18</c:f>
              <c:numCache>
                <c:formatCode>0.00</c:formatCode>
                <c:ptCount val="1"/>
                <c:pt idx="0">
                  <c:v>2.7141500472479669E-2</c:v>
                </c:pt>
              </c:numCache>
            </c:numRef>
          </c:xVal>
          <c:yVal>
            <c:numRef>
              <c:f>'UAV MOE'!$X$1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'UAV MOE'!$K$2</c:f>
              <c:strCache>
                <c:ptCount val="1"/>
                <c:pt idx="0">
                  <c:v>Raven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MOE'!$K$18</c:f>
              <c:numCache>
                <c:formatCode>0.00</c:formatCode>
                <c:ptCount val="1"/>
                <c:pt idx="0">
                  <c:v>1.496300212946621E-2</c:v>
                </c:pt>
              </c:numCache>
            </c:numRef>
          </c:xVal>
          <c:yVal>
            <c:numRef>
              <c:f>'UAV MOE'!$K$1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53423232"/>
        <c:axId val="153433600"/>
      </c:scatterChart>
      <c:valAx>
        <c:axId val="15342323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Annualized LLC (BY 2013 $M)</a:t>
                </a:r>
              </a:p>
            </c:rich>
          </c:tx>
          <c:overlay val="0"/>
        </c:title>
        <c:numFmt formatCode="0.00" sourceLinked="1"/>
        <c:majorTickMark val="out"/>
        <c:minorTickMark val="in"/>
        <c:tickLblPos val="nextTo"/>
        <c:crossAx val="153433600"/>
        <c:crosses val="autoZero"/>
        <c:crossBetween val="midCat"/>
      </c:valAx>
      <c:valAx>
        <c:axId val="153433600"/>
        <c:scaling>
          <c:orientation val="minMax"/>
          <c:max val="1"/>
          <c:min val="0.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153423232"/>
        <c:crossesAt val="1.0000000000000002E-2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</a:t>
            </a:r>
            <a:r>
              <a:rPr lang="en-US" baseline="0"/>
              <a:t> </a:t>
            </a:r>
            <a:r>
              <a:rPr lang="en-US"/>
              <a:t>- HADR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3613116068824734E-2"/>
          <c:y val="0.12228293825957021"/>
          <c:w val="0.86610327354913974"/>
          <c:h val="0.76125765529308831"/>
        </c:manualLayout>
      </c:layout>
      <c:scatterChart>
        <c:scatterStyle val="lineMarker"/>
        <c:varyColors val="1"/>
        <c:ser>
          <c:idx val="0"/>
          <c:order val="0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723563400728755E-3"/>
                  <c:y val="2.180232558139534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MOE'!$D$2</c:f>
              <c:strCache>
                <c:ptCount val="1"/>
                <c:pt idx="0">
                  <c:v>Gray Eagle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MOE'!$D$18</c:f>
              <c:numCache>
                <c:formatCode>0.00</c:formatCode>
                <c:ptCount val="1"/>
                <c:pt idx="0">
                  <c:v>4.8089363873716948</c:v>
                </c:pt>
              </c:numCache>
            </c:numRef>
          </c:xVal>
          <c:yVal>
            <c:numRef>
              <c:f>'UAV MOE'!$D$1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'UAV MOE'!$G$2</c:f>
              <c:strCache>
                <c:ptCount val="1"/>
                <c:pt idx="0">
                  <c:v>Triton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8155935636250597E-3"/>
                  <c:y val="-1.695755508759079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MOE'!$G$18</c:f>
              <c:numCache>
                <c:formatCode>0.00</c:formatCode>
                <c:ptCount val="1"/>
                <c:pt idx="0">
                  <c:v>26.429602435675921</c:v>
                </c:pt>
              </c:numCache>
            </c:numRef>
          </c:xVal>
          <c:yVal>
            <c:numRef>
              <c:f>'UAV MOE'!$G$1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'UAV MOE'!$H$2</c:f>
              <c:strCache>
                <c:ptCount val="1"/>
                <c:pt idx="0">
                  <c:v>Shadow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MOE'!$H$18</c:f>
              <c:numCache>
                <c:formatCode>0.00</c:formatCode>
                <c:ptCount val="1"/>
                <c:pt idx="0">
                  <c:v>0.85606088618099418</c:v>
                </c:pt>
              </c:numCache>
            </c:numRef>
          </c:xVal>
          <c:yVal>
            <c:numRef>
              <c:f>'UAV MOE'!$H$1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'UAV MOE'!$I$2</c:f>
              <c:strCache>
                <c:ptCount val="1"/>
                <c:pt idx="0">
                  <c:v>Fire Scout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1.69573643410852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MOE'!$I$18</c:f>
              <c:numCache>
                <c:formatCode>0.00</c:formatCode>
                <c:ptCount val="1"/>
                <c:pt idx="0">
                  <c:v>3.3834230952380957</c:v>
                </c:pt>
              </c:numCache>
            </c:numRef>
          </c:xVal>
          <c:yVal>
            <c:numRef>
              <c:f>'UAV MOE'!$I$1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'UAV MOE'!$K$2</c:f>
              <c:strCache>
                <c:ptCount val="1"/>
                <c:pt idx="0">
                  <c:v>Raven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MOE'!$K$18</c:f>
              <c:numCache>
                <c:formatCode>0.00</c:formatCode>
                <c:ptCount val="1"/>
                <c:pt idx="0">
                  <c:v>1.496300212946621E-2</c:v>
                </c:pt>
              </c:numCache>
            </c:numRef>
          </c:xVal>
          <c:yVal>
            <c:numRef>
              <c:f>'UAV MOE'!$K$1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0"/>
          <c:order val="8"/>
          <c:tx>
            <c:strRef>
              <c:f>'UAV MOE'!$N$2</c:f>
              <c:strCache>
                <c:ptCount val="1"/>
                <c:pt idx="0">
                  <c:v>Hummingbird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6266977105161042E-2"/>
                  <c:y val="3.149224806201550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MOE'!$N$18</c:f>
              <c:numCache>
                <c:formatCode>0.00</c:formatCode>
                <c:ptCount val="1"/>
                <c:pt idx="0">
                  <c:v>2.6566246889867919</c:v>
                </c:pt>
              </c:numCache>
            </c:numRef>
          </c:xVal>
          <c:yVal>
            <c:numRef>
              <c:f>'UAV MOE'!$N$1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1"/>
          <c:order val="9"/>
          <c:tx>
            <c:strRef>
              <c:f>'UAV MOE'!$P$2</c:f>
              <c:strCache>
                <c:ptCount val="1"/>
                <c:pt idx="0">
                  <c:v>Blackjack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MOE'!$P$18</c:f>
              <c:numCache>
                <c:formatCode>0.00</c:formatCode>
                <c:ptCount val="1"/>
                <c:pt idx="0">
                  <c:v>0.94010418616306357</c:v>
                </c:pt>
              </c:numCache>
            </c:numRef>
          </c:xVal>
          <c:yVal>
            <c:numRef>
              <c:f>'UAV MOE'!$P$1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3"/>
          <c:order val="10"/>
          <c:tx>
            <c:strRef>
              <c:f>'UAV MOE'!$R$2</c:f>
              <c:strCache>
                <c:ptCount val="1"/>
                <c:pt idx="0">
                  <c:v>Wasp III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MOE'!$R$18</c:f>
              <c:numCache>
                <c:formatCode>0.00</c:formatCode>
                <c:ptCount val="1"/>
                <c:pt idx="0">
                  <c:v>1.7456835817710577E-2</c:v>
                </c:pt>
              </c:numCache>
            </c:numRef>
          </c:xVal>
          <c:yVal>
            <c:numRef>
              <c:f>'UAV MOE'!$R$1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4"/>
          <c:order val="11"/>
          <c:tx>
            <c:strRef>
              <c:f>'UAV MOE'!$V$2</c:f>
              <c:strCache>
                <c:ptCount val="1"/>
                <c:pt idx="0">
                  <c:v>PTDS 74K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9402405898331393E-3"/>
                  <c:y val="-1.93798449612403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MOE'!$V$18</c:f>
              <c:numCache>
                <c:formatCode>0.00</c:formatCode>
                <c:ptCount val="1"/>
                <c:pt idx="0">
                  <c:v>2.5453899682805297</c:v>
                </c:pt>
              </c:numCache>
            </c:numRef>
          </c:xVal>
          <c:yVal>
            <c:numRef>
              <c:f>'UAV MOE'!$V$1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5"/>
          <c:order val="12"/>
          <c:tx>
            <c:strRef>
              <c:f>'UAV MOE'!$W$2</c:f>
              <c:strCache>
                <c:ptCount val="1"/>
                <c:pt idx="0">
                  <c:v>RAID Tower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MOE'!$W$18</c:f>
              <c:numCache>
                <c:formatCode>0.00</c:formatCode>
                <c:ptCount val="1"/>
                <c:pt idx="0">
                  <c:v>9.568514795844546E-2</c:v>
                </c:pt>
              </c:numCache>
            </c:numRef>
          </c:xVal>
          <c:yVal>
            <c:numRef>
              <c:f>'UAV MOE'!$W$1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6"/>
          <c:order val="13"/>
          <c:tx>
            <c:strRef>
              <c:f>'UAV MOE'!$X$2</c:f>
              <c:strCache>
                <c:ptCount val="1"/>
                <c:pt idx="0">
                  <c:v>Cerberus Tower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MOE'!$X$18</c:f>
              <c:numCache>
                <c:formatCode>0.00</c:formatCode>
                <c:ptCount val="1"/>
                <c:pt idx="0">
                  <c:v>2.7141500472479669E-2</c:v>
                </c:pt>
              </c:numCache>
            </c:numRef>
          </c:xVal>
          <c:yVal>
            <c:numRef>
              <c:f>'UAV MOE'!$X$1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7"/>
          <c:order val="14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53557632"/>
        <c:axId val="153572096"/>
      </c:scatterChart>
      <c:valAx>
        <c:axId val="15355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Annualized LLC (BY 2013 $M)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in"/>
        <c:tickLblPos val="nextTo"/>
        <c:crossAx val="153572096"/>
        <c:crosses val="autoZero"/>
        <c:crossBetween val="midCat"/>
        <c:minorUnit val="10"/>
      </c:valAx>
      <c:valAx>
        <c:axId val="1535720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crossAx val="153557632"/>
        <c:crosses val="autoZero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</a:t>
            </a:r>
            <a:r>
              <a:rPr lang="en-US" baseline="0"/>
              <a:t> </a:t>
            </a:r>
            <a:r>
              <a:rPr lang="en-US"/>
              <a:t>- HADR Satisficing</a:t>
            </a:r>
            <a:r>
              <a:rPr lang="en-US" baseline="0"/>
              <a:t> Solution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2503863418941792E-2"/>
          <c:y val="0.12228293825957021"/>
          <c:w val="0.92968626585228253"/>
          <c:h val="0.75638686943290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7.7286652727731067E-2"/>
                  <c:y val="-3.239816059577915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MOE'!$D$2</c:f>
              <c:strCache>
                <c:ptCount val="1"/>
                <c:pt idx="0">
                  <c:v>Gray Eagle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MOE'!$D$18</c:f>
              <c:numCache>
                <c:formatCode>0.00</c:formatCode>
                <c:ptCount val="1"/>
                <c:pt idx="0">
                  <c:v>4.8089363873716948</c:v>
                </c:pt>
              </c:numCache>
            </c:numRef>
          </c:xVal>
          <c:yVal>
            <c:numRef>
              <c:f>'UAV MOE'!$D$1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'UAV MOE'!$G$2</c:f>
              <c:strCache>
                <c:ptCount val="1"/>
                <c:pt idx="0">
                  <c:v>Triton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8156351951333187E-3"/>
                  <c:y val="2.507232216410904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MOE'!$G$18</c:f>
              <c:numCache>
                <c:formatCode>0.00</c:formatCode>
                <c:ptCount val="1"/>
                <c:pt idx="0">
                  <c:v>26.429602435675921</c:v>
                </c:pt>
              </c:numCache>
            </c:numRef>
          </c:xVal>
          <c:yVal>
            <c:numRef>
              <c:f>'UAV MOE'!$G$1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'UAV MOE'!$H$2</c:f>
              <c:strCache>
                <c:ptCount val="1"/>
                <c:pt idx="0">
                  <c:v>Shadow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MOE'!$H$18</c:f>
              <c:numCache>
                <c:formatCode>0.00</c:formatCode>
                <c:ptCount val="1"/>
                <c:pt idx="0">
                  <c:v>0.85606088618099418</c:v>
                </c:pt>
              </c:numCache>
            </c:numRef>
          </c:xVal>
          <c:yVal>
            <c:numRef>
              <c:f>'UAV MOE'!$H$1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'UAV MOE'!$I$2</c:f>
              <c:strCache>
                <c:ptCount val="1"/>
                <c:pt idx="0">
                  <c:v>Fire Scout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4.6729254996971531E-3"/>
                  <c:y val="6.895505249343831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MOE'!$I$18</c:f>
              <c:numCache>
                <c:formatCode>0.00</c:formatCode>
                <c:ptCount val="1"/>
                <c:pt idx="0">
                  <c:v>3.3834230952380957</c:v>
                </c:pt>
              </c:numCache>
            </c:numRef>
          </c:xVal>
          <c:yVal>
            <c:numRef>
              <c:f>'UAV MOE'!$I$1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'UAV MOE'!$K$2</c:f>
              <c:strCache>
                <c:ptCount val="1"/>
                <c:pt idx="0">
                  <c:v>Raven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-9.732360097323601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MOE'!$K$18</c:f>
              <c:numCache>
                <c:formatCode>0.00</c:formatCode>
                <c:ptCount val="1"/>
                <c:pt idx="0">
                  <c:v>1.496300212946621E-2</c:v>
                </c:pt>
              </c:numCache>
            </c:numRef>
          </c:xVal>
          <c:yVal>
            <c:numRef>
              <c:f>'UAV MOE'!$K$1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0"/>
          <c:order val="8"/>
          <c:tx>
            <c:strRef>
              <c:f>'UAV MOE'!$N$2</c:f>
              <c:strCache>
                <c:ptCount val="1"/>
                <c:pt idx="0">
                  <c:v>Hummingbird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667659331045158E-2"/>
                  <c:y val="4.340961286089238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MOE'!$N$18</c:f>
              <c:numCache>
                <c:formatCode>0.00</c:formatCode>
                <c:ptCount val="1"/>
                <c:pt idx="0">
                  <c:v>2.6566246889867919</c:v>
                </c:pt>
              </c:numCache>
            </c:numRef>
          </c:xVal>
          <c:yVal>
            <c:numRef>
              <c:f>'UAV MOE'!$N$1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1"/>
          <c:order val="9"/>
          <c:tx>
            <c:strRef>
              <c:f>'UAV MOE'!$P$2</c:f>
              <c:strCache>
                <c:ptCount val="1"/>
                <c:pt idx="0">
                  <c:v>Blackjack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2.91970802919708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MOE'!$P$18</c:f>
              <c:numCache>
                <c:formatCode>0.00</c:formatCode>
                <c:ptCount val="1"/>
                <c:pt idx="0">
                  <c:v>0.94010418616306357</c:v>
                </c:pt>
              </c:numCache>
            </c:numRef>
          </c:xVal>
          <c:yVal>
            <c:numRef>
              <c:f>'UAV MOE'!$P$1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3"/>
          <c:order val="10"/>
          <c:tx>
            <c:strRef>
              <c:f>'UAV MOE'!$R$2</c:f>
              <c:strCache>
                <c:ptCount val="1"/>
                <c:pt idx="0">
                  <c:v>Wasp III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1.9464720194647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MOE'!$R$18</c:f>
              <c:numCache>
                <c:formatCode>0.00</c:formatCode>
                <c:ptCount val="1"/>
                <c:pt idx="0">
                  <c:v>1.7456835817710577E-2</c:v>
                </c:pt>
              </c:numCache>
            </c:numRef>
          </c:xVal>
          <c:yVal>
            <c:numRef>
              <c:f>'UAV MOE'!$R$1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4"/>
          <c:order val="11"/>
          <c:tx>
            <c:strRef>
              <c:f>'UAV MOE'!$V$2</c:f>
              <c:strCache>
                <c:ptCount val="1"/>
                <c:pt idx="0">
                  <c:v>PTDS 74K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2134480786055589"/>
                  <c:y val="6.402012248468941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MOE'!$V$18</c:f>
              <c:numCache>
                <c:formatCode>0.00</c:formatCode>
                <c:ptCount val="1"/>
                <c:pt idx="0">
                  <c:v>2.5453899682805297</c:v>
                </c:pt>
              </c:numCache>
            </c:numRef>
          </c:xVal>
          <c:yVal>
            <c:numRef>
              <c:f>'UAV MOE'!$V$1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5"/>
          <c:order val="12"/>
          <c:tx>
            <c:strRef>
              <c:f>'UAV MOE'!$W$2</c:f>
              <c:strCache>
                <c:ptCount val="1"/>
                <c:pt idx="0">
                  <c:v>RAID Tower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MOE'!$W$18</c:f>
              <c:numCache>
                <c:formatCode>0.00</c:formatCode>
                <c:ptCount val="1"/>
                <c:pt idx="0">
                  <c:v>9.568514795844546E-2</c:v>
                </c:pt>
              </c:numCache>
            </c:numRef>
          </c:xVal>
          <c:yVal>
            <c:numRef>
              <c:f>'UAV MOE'!$W$1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6"/>
          <c:order val="13"/>
          <c:tx>
            <c:strRef>
              <c:f>'UAV MOE'!$X$2</c:f>
              <c:strCache>
                <c:ptCount val="1"/>
                <c:pt idx="0">
                  <c:v>Cerberus Tower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2305295950155761E-3"/>
                  <c:y val="-1.459854014598540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MOE'!$X$18</c:f>
              <c:numCache>
                <c:formatCode>0.00</c:formatCode>
                <c:ptCount val="1"/>
                <c:pt idx="0">
                  <c:v>2.7141500472479669E-2</c:v>
                </c:pt>
              </c:numCache>
            </c:numRef>
          </c:xVal>
          <c:yVal>
            <c:numRef>
              <c:f>'UAV MOE'!$X$1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7"/>
          <c:order val="14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53782144"/>
        <c:axId val="153788416"/>
      </c:scatterChart>
      <c:valAx>
        <c:axId val="153782144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Annualized LLC (BY 2013 $M)</a:t>
                </a:r>
              </a:p>
            </c:rich>
          </c:tx>
          <c:overlay val="0"/>
        </c:title>
        <c:numFmt formatCode="0.00" sourceLinked="1"/>
        <c:majorTickMark val="out"/>
        <c:minorTickMark val="in"/>
        <c:tickLblPos val="nextTo"/>
        <c:crossAx val="153788416"/>
        <c:crosses val="autoZero"/>
        <c:crossBetween val="midCat"/>
        <c:minorUnit val="10"/>
      </c:valAx>
      <c:valAx>
        <c:axId val="1537884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153782144"/>
        <c:crosses val="autoZero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</a:t>
            </a:r>
            <a:r>
              <a:rPr lang="en-US" baseline="0"/>
              <a:t> </a:t>
            </a:r>
            <a:r>
              <a:rPr lang="en-US"/>
              <a:t>- HADR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6994190545096805E-2"/>
          <c:y val="0.12228293825957021"/>
          <c:w val="0.88602584972296361"/>
          <c:h val="0.75638686943290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7.7286652727731067E-2"/>
                  <c:y val="-3.239816059577915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MOE'!$D$2</c:f>
              <c:strCache>
                <c:ptCount val="1"/>
                <c:pt idx="0">
                  <c:v>Gray Eagle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MOE'!$D$18</c:f>
              <c:numCache>
                <c:formatCode>0.00</c:formatCode>
                <c:ptCount val="1"/>
                <c:pt idx="0">
                  <c:v>4.8089363873716948</c:v>
                </c:pt>
              </c:numCache>
            </c:numRef>
          </c:xVal>
          <c:yVal>
            <c:numRef>
              <c:f>'UAV MOE'!$D$1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'UAV MOE'!$G$2</c:f>
              <c:strCache>
                <c:ptCount val="1"/>
                <c:pt idx="0">
                  <c:v>Triton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8156351951333187E-3"/>
                  <c:y val="2.507232216410904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MOE'!$G$18</c:f>
              <c:numCache>
                <c:formatCode>0.00</c:formatCode>
                <c:ptCount val="1"/>
                <c:pt idx="0">
                  <c:v>26.429602435675921</c:v>
                </c:pt>
              </c:numCache>
            </c:numRef>
          </c:xVal>
          <c:yVal>
            <c:numRef>
              <c:f>'UAV MOE'!$G$1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'UAV MOE'!$H$2</c:f>
              <c:strCache>
                <c:ptCount val="1"/>
                <c:pt idx="0">
                  <c:v>Shadow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MOE'!$H$18</c:f>
              <c:numCache>
                <c:formatCode>0.00</c:formatCode>
                <c:ptCount val="1"/>
                <c:pt idx="0">
                  <c:v>0.85606088618099418</c:v>
                </c:pt>
              </c:numCache>
            </c:numRef>
          </c:xVal>
          <c:yVal>
            <c:numRef>
              <c:f>'UAV MOE'!$H$1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'UAV MOE'!$I$2</c:f>
              <c:strCache>
                <c:ptCount val="1"/>
                <c:pt idx="0">
                  <c:v>Fire Scout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4.6728273549139689E-3"/>
                  <c:y val="6.895505249343831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MOE'!$I$18</c:f>
              <c:numCache>
                <c:formatCode>0.00</c:formatCode>
                <c:ptCount val="1"/>
                <c:pt idx="0">
                  <c:v>3.3834230952380957</c:v>
                </c:pt>
              </c:numCache>
            </c:numRef>
          </c:xVal>
          <c:yVal>
            <c:numRef>
              <c:f>'UAV MOE'!$I$1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'UAV MOE'!$K$2</c:f>
              <c:strCache>
                <c:ptCount val="1"/>
                <c:pt idx="0">
                  <c:v>Raven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-9.732360097323601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MOE'!$K$18</c:f>
              <c:numCache>
                <c:formatCode>0.00</c:formatCode>
                <c:ptCount val="1"/>
                <c:pt idx="0">
                  <c:v>1.496300212946621E-2</c:v>
                </c:pt>
              </c:numCache>
            </c:numRef>
          </c:xVal>
          <c:yVal>
            <c:numRef>
              <c:f>'UAV MOE'!$K$1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'UAV MOE'!$L$2</c:f>
              <c:strCache>
                <c:ptCount val="1"/>
                <c:pt idx="0">
                  <c:v>Neptune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MOE'!$L$18</c:f>
              <c:numCache>
                <c:formatCode>0.00</c:formatCode>
                <c:ptCount val="1"/>
                <c:pt idx="0">
                  <c:v>8.1808722813740617E-2</c:v>
                </c:pt>
              </c:numCache>
            </c:numRef>
          </c:xVal>
          <c:yVal>
            <c:numRef>
              <c:f>'UAV MOE'!$L$1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'UAV MOE'!$M$2</c:f>
              <c:strCache>
                <c:ptCount val="1"/>
                <c:pt idx="0">
                  <c:v>T-Hawk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MOE'!$M$18</c:f>
              <c:numCache>
                <c:formatCode>0.00</c:formatCode>
                <c:ptCount val="1"/>
                <c:pt idx="0">
                  <c:v>0.14842142332365665</c:v>
                </c:pt>
              </c:numCache>
            </c:numRef>
          </c:xVal>
          <c:yVal>
            <c:numRef>
              <c:f>'UAV MOE'!$M$1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'UAV MOE'!$N$2</c:f>
              <c:strCache>
                <c:ptCount val="1"/>
                <c:pt idx="0">
                  <c:v>Hummingbird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4.4495479731700201E-3"/>
                  <c:y val="2.648348643919510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MOE'!$N$18</c:f>
              <c:numCache>
                <c:formatCode>0.00</c:formatCode>
                <c:ptCount val="1"/>
                <c:pt idx="0">
                  <c:v>2.6566246889867919</c:v>
                </c:pt>
              </c:numCache>
            </c:numRef>
          </c:xVal>
          <c:yVal>
            <c:numRef>
              <c:f>'UAV MOE'!$N$1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'UAV MOE'!$P$2</c:f>
              <c:strCache>
                <c:ptCount val="1"/>
                <c:pt idx="0">
                  <c:v>Blackjack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2.91970802919708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MOE'!$P$18</c:f>
              <c:numCache>
                <c:formatCode>0.00</c:formatCode>
                <c:ptCount val="1"/>
                <c:pt idx="0">
                  <c:v>0.94010418616306357</c:v>
                </c:pt>
              </c:numCache>
            </c:numRef>
          </c:xVal>
          <c:yVal>
            <c:numRef>
              <c:f>'UAV MOE'!$P$1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3"/>
          <c:order val="12"/>
          <c:tx>
            <c:strRef>
              <c:f>'UAV MOE'!$R$2</c:f>
              <c:strCache>
                <c:ptCount val="1"/>
                <c:pt idx="0">
                  <c:v>Wasp III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1.9464720194647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MOE'!$R$18</c:f>
              <c:numCache>
                <c:formatCode>0.00</c:formatCode>
                <c:ptCount val="1"/>
                <c:pt idx="0">
                  <c:v>1.7456835817710577E-2</c:v>
                </c:pt>
              </c:numCache>
            </c:numRef>
          </c:xVal>
          <c:yVal>
            <c:numRef>
              <c:f>'UAV MOE'!$R$1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4"/>
          <c:order val="13"/>
          <c:tx>
            <c:strRef>
              <c:f>'UAV MOE'!$V$2</c:f>
              <c:strCache>
                <c:ptCount val="1"/>
                <c:pt idx="0">
                  <c:v>PTDS 74K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3.8234356219491255E-3"/>
                  <c:y val="-4.014790122037665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MOE'!$V$18</c:f>
              <c:numCache>
                <c:formatCode>0.00</c:formatCode>
                <c:ptCount val="1"/>
                <c:pt idx="0">
                  <c:v>2.5453899682805297</c:v>
                </c:pt>
              </c:numCache>
            </c:numRef>
          </c:xVal>
          <c:yVal>
            <c:numRef>
              <c:f>'UAV MOE'!$V$1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5"/>
          <c:order val="14"/>
          <c:tx>
            <c:strRef>
              <c:f>'UAV MOE'!$W$2</c:f>
              <c:strCache>
                <c:ptCount val="1"/>
                <c:pt idx="0">
                  <c:v>RAID Tower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MOE'!$W$18</c:f>
              <c:numCache>
                <c:formatCode>0.00</c:formatCode>
                <c:ptCount val="1"/>
                <c:pt idx="0">
                  <c:v>9.568514795844546E-2</c:v>
                </c:pt>
              </c:numCache>
            </c:numRef>
          </c:xVal>
          <c:yVal>
            <c:numRef>
              <c:f>'UAV MOE'!$W$1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6"/>
          <c:order val="15"/>
          <c:tx>
            <c:strRef>
              <c:f>'UAV MOE'!$X$2</c:f>
              <c:strCache>
                <c:ptCount val="1"/>
                <c:pt idx="0">
                  <c:v>Cerberus Tower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2305295950155761E-3"/>
                  <c:y val="-1.459854014598540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MOE'!$X$18</c:f>
              <c:numCache>
                <c:formatCode>0.00</c:formatCode>
                <c:ptCount val="1"/>
                <c:pt idx="0">
                  <c:v>2.7141500472479669E-2</c:v>
                </c:pt>
              </c:numCache>
            </c:numRef>
          </c:xVal>
          <c:yVal>
            <c:numRef>
              <c:f>'UAV MOE'!$X$1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7"/>
          <c:order val="16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53874816"/>
        <c:axId val="153876736"/>
      </c:scatterChart>
      <c:valAx>
        <c:axId val="153874816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Annualized LLC (BY 2013 $M)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in"/>
        <c:tickLblPos val="nextTo"/>
        <c:crossAx val="153876736"/>
        <c:crosses val="autoZero"/>
        <c:crossBetween val="midCat"/>
        <c:minorUnit val="10"/>
      </c:valAx>
      <c:valAx>
        <c:axId val="153876736"/>
        <c:scaling>
          <c:orientation val="minMax"/>
          <c:max val="1"/>
          <c:min val="0.6000000000000000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crossAx val="153874816"/>
        <c:crossesAt val="1.0000000000000002E-2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9522545085950089E-2"/>
          <c:y val="0.12228293825957021"/>
          <c:w val="0.85957324303209826"/>
          <c:h val="0.76785529543027309"/>
        </c:manualLayout>
      </c:layout>
      <c:scatterChart>
        <c:scatterStyle val="lineMarker"/>
        <c:varyColors val="1"/>
        <c:ser>
          <c:idx val="17"/>
          <c:order val="0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3784813356663751E-2"/>
                  <c:y val="-2.81337489063867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'UAV MOE'!$F$2</c:f>
              <c:strCache>
                <c:ptCount val="1"/>
                <c:pt idx="0">
                  <c:v>Global Hawk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'UAV MOE'!$F$18</c:f>
              <c:numCache>
                <c:formatCode>0.00</c:formatCode>
                <c:ptCount val="1"/>
                <c:pt idx="0">
                  <c:v>34.357959906292898</c:v>
                </c:pt>
              </c:numCache>
            </c:numRef>
          </c:xVal>
          <c:yVal>
            <c:numRef>
              <c:f>'UAV MOE'!$F$1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53917696"/>
        <c:axId val="153932160"/>
      </c:scatterChart>
      <c:valAx>
        <c:axId val="153917696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Annualized LLC (BY 2013 $M)</a:t>
                </a:r>
              </a:p>
            </c:rich>
          </c:tx>
          <c:overlay val="0"/>
        </c:title>
        <c:numFmt formatCode="0.00" sourceLinked="1"/>
        <c:majorTickMark val="out"/>
        <c:minorTickMark val="in"/>
        <c:tickLblPos val="nextTo"/>
        <c:crossAx val="153932160"/>
        <c:crosses val="autoZero"/>
        <c:crossBetween val="midCat"/>
      </c:valAx>
      <c:valAx>
        <c:axId val="153932160"/>
        <c:scaling>
          <c:orientation val="minMax"/>
          <c:max val="1"/>
          <c:min val="0.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153917696"/>
        <c:crossesAt val="1.0000000000000002E-2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248359580052494E-2"/>
          <c:y val="0.12228293825957021"/>
          <c:w val="0.86723279381743945"/>
          <c:h val="0.76785529543027309"/>
        </c:manualLayout>
      </c:layout>
      <c:scatterChart>
        <c:scatterStyle val="lineMarker"/>
        <c:varyColors val="1"/>
        <c:ser>
          <c:idx val="17"/>
          <c:order val="0"/>
          <c:tx>
            <c:strRef>
              <c:f>'UAV MOE'!$Y$2</c:f>
              <c:strCache>
                <c:ptCount val="1"/>
                <c:pt idx="0">
                  <c:v>TIF-25K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MOE'!$Y$18</c:f>
              <c:numCache>
                <c:formatCode>0.00</c:formatCode>
                <c:ptCount val="1"/>
                <c:pt idx="0">
                  <c:v>0.11711345408399612</c:v>
                </c:pt>
              </c:numCache>
            </c:numRef>
          </c:xVal>
          <c:yVal>
            <c:numRef>
              <c:f>'UAV MOE'!$Y$1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'UAV MOE'!$C$2</c:f>
              <c:strCache>
                <c:ptCount val="1"/>
                <c:pt idx="0">
                  <c:v>Predator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'UAV MOE'!$C$18</c:f>
              <c:numCache>
                <c:formatCode>0.00</c:formatCode>
                <c:ptCount val="1"/>
                <c:pt idx="0">
                  <c:v>2.0190046678402069</c:v>
                </c:pt>
              </c:numCache>
            </c:numRef>
          </c:xVal>
          <c:yVal>
            <c:numRef>
              <c:f>'UAV MOE'!$C$1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'UAV MOE'!$J$2</c:f>
              <c:strCache>
                <c:ptCount val="1"/>
                <c:pt idx="0">
                  <c:v>Reaper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'UAV MOE'!$J$18</c:f>
              <c:numCache>
                <c:formatCode>0.00</c:formatCode>
                <c:ptCount val="1"/>
                <c:pt idx="0">
                  <c:v>3.6373688371466542</c:v>
                </c:pt>
              </c:numCache>
            </c:numRef>
          </c:xVal>
          <c:yVal>
            <c:numRef>
              <c:f>'UAV MOE'!$J$1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54029056"/>
        <c:axId val="154043520"/>
      </c:scatterChart>
      <c:valAx>
        <c:axId val="15402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Annualized LLC (BY 2013 $M)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in"/>
        <c:tickLblPos val="nextTo"/>
        <c:crossAx val="154043520"/>
        <c:crosses val="autoZero"/>
        <c:crossBetween val="midCat"/>
      </c:valAx>
      <c:valAx>
        <c:axId val="154043520"/>
        <c:scaling>
          <c:orientation val="minMax"/>
          <c:max val="1"/>
          <c:min val="0.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crossAx val="154029056"/>
        <c:crossesAt val="1.0000000000000002E-2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92107757363663"/>
          <c:y val="0.19480351414406533"/>
          <c:w val="0.71246245261009034"/>
          <c:h val="0.59104512977544477"/>
        </c:manualLayout>
      </c:layout>
      <c:scatterChart>
        <c:scatterStyle val="lineMarker"/>
        <c:varyColors val="0"/>
        <c:ser>
          <c:idx val="3"/>
          <c:order val="0"/>
          <c:tx>
            <c:strRef>
              <c:f>'Comm V(x)'!$A$3</c:f>
              <c:strCache>
                <c:ptCount val="1"/>
                <c:pt idx="0">
                  <c:v>Throughput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30410341936424612"/>
                  <c:y val="0.46723352289297171"/>
                </c:manualLayout>
              </c:layout>
              <c:numFmt formatCode="0.000000E+00" sourceLinked="0"/>
            </c:trendlineLbl>
          </c:trendline>
          <c:xVal>
            <c:numRef>
              <c:f>'Comm V(x)'!$E$3:$O$3</c:f>
              <c:numCache>
                <c:formatCode>General</c:formatCode>
                <c:ptCount val="11"/>
                <c:pt idx="0">
                  <c:v>50</c:v>
                </c:pt>
                <c:pt idx="5">
                  <c:v>150</c:v>
                </c:pt>
                <c:pt idx="10">
                  <c:v>250</c:v>
                </c:pt>
              </c:numCache>
            </c:numRef>
          </c:xVal>
          <c:yVal>
            <c:numRef>
              <c:f>'Comm V(x)'!$E$2:$O$2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83328"/>
        <c:axId val="154493696"/>
      </c:scatterChart>
      <c:valAx>
        <c:axId val="15448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Upload + Download</a:t>
                </a:r>
                <a:r>
                  <a:rPr lang="en-US" baseline="0"/>
                  <a:t> Speed (Mbps)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4493696"/>
        <c:crosses val="autoZero"/>
        <c:crossBetween val="midCat"/>
      </c:valAx>
      <c:valAx>
        <c:axId val="154493696"/>
        <c:scaling>
          <c:orientation val="minMax"/>
          <c:max val="1.100000000000000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4483328"/>
        <c:crosses val="autoZero"/>
        <c:crossBetween val="midCat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0332093904928548"/>
          <c:y val="0.58539843977836103"/>
          <c:w val="0.1804753572470108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92107757363663"/>
          <c:y val="0.19480351414406533"/>
          <c:w val="0.75289041994750661"/>
          <c:h val="0.59104512977544477"/>
        </c:manualLayout>
      </c:layout>
      <c:scatterChart>
        <c:scatterStyle val="lineMarker"/>
        <c:varyColors val="0"/>
        <c:ser>
          <c:idx val="3"/>
          <c:order val="0"/>
          <c:tx>
            <c:strRef>
              <c:f>'Comm V(x)'!$A$4</c:f>
              <c:strCache>
                <c:ptCount val="1"/>
                <c:pt idx="0">
                  <c:v>Power Output</c:v>
                </c:pt>
              </c:strCache>
            </c:strRef>
          </c:tx>
          <c:trendline>
            <c:trendlineType val="poly"/>
            <c:order val="3"/>
            <c:intercept val="0"/>
            <c:dispRSqr val="1"/>
            <c:dispEq val="1"/>
            <c:trendlineLbl>
              <c:layout>
                <c:manualLayout>
                  <c:x val="0.27155912802566345"/>
                  <c:y val="0.38390018955963839"/>
                </c:manualLayout>
              </c:layout>
              <c:numFmt formatCode="0.000000E+00" sourceLinked="0"/>
            </c:trendlineLbl>
          </c:trendline>
          <c:xVal>
            <c:numRef>
              <c:f>'Comm V(x)'!$E$4:$O$4</c:f>
              <c:numCache>
                <c:formatCode>General</c:formatCode>
                <c:ptCount val="11"/>
                <c:pt idx="0">
                  <c:v>0</c:v>
                </c:pt>
                <c:pt idx="1">
                  <c:v>40</c:v>
                </c:pt>
                <c:pt idx="2">
                  <c:v>70</c:v>
                </c:pt>
                <c:pt idx="3">
                  <c:v>100</c:v>
                </c:pt>
                <c:pt idx="4">
                  <c:v>135</c:v>
                </c:pt>
                <c:pt idx="5">
                  <c:v>180</c:v>
                </c:pt>
                <c:pt idx="6">
                  <c:v>220</c:v>
                </c:pt>
                <c:pt idx="7">
                  <c:v>260</c:v>
                </c:pt>
                <c:pt idx="8">
                  <c:v>300</c:v>
                </c:pt>
                <c:pt idx="9">
                  <c:v>400</c:v>
                </c:pt>
                <c:pt idx="10">
                  <c:v>500</c:v>
                </c:pt>
              </c:numCache>
            </c:numRef>
          </c:xVal>
          <c:yVal>
            <c:numRef>
              <c:f>'Comm V(x)'!$E$2:$O$2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532096"/>
        <c:axId val="153948544"/>
      </c:scatterChart>
      <c:valAx>
        <c:axId val="15453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Power (</a:t>
                </a:r>
                <a:r>
                  <a:rPr lang="en-US"/>
                  <a:t>Watts)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3948544"/>
        <c:crosses val="autoZero"/>
        <c:crossBetween val="midCat"/>
      </c:valAx>
      <c:valAx>
        <c:axId val="15394854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45320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012212015164767"/>
          <c:y val="0.30999562554680671"/>
          <c:w val="0.40987781547776997"/>
          <c:h val="0.14454760863225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Endurance value function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Endurance!$A$2:$A$12</c:f>
              <c:numCache>
                <c:formatCode>General</c:formatCode>
                <c:ptCount val="1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</c:v>
                </c:pt>
                <c:pt idx="4">
                  <c:v>1.2</c:v>
                </c:pt>
                <c:pt idx="5">
                  <c:v>1.4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</c:numCache>
            </c:numRef>
          </c:xVal>
          <c:yVal>
            <c:numRef>
              <c:f>Endurance!$B$2:$B$12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Endurance!$S$4:$S$105</c:f>
              <c:numCache>
                <c:formatCode>General</c:formatCode>
                <c:ptCount val="102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0.24000000000000002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0.39999999999999997</c:v>
                </c:pt>
                <c:pt idx="11">
                  <c:v>0.43999999999999995</c:v>
                </c:pt>
                <c:pt idx="12">
                  <c:v>0.47999999999999993</c:v>
                </c:pt>
                <c:pt idx="13">
                  <c:v>0.51999999999999991</c:v>
                </c:pt>
                <c:pt idx="14">
                  <c:v>0.55999999999999994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0.72000000000000008</c:v>
                </c:pt>
                <c:pt idx="19">
                  <c:v>0.76000000000000012</c:v>
                </c:pt>
                <c:pt idx="20">
                  <c:v>0.80000000000000016</c:v>
                </c:pt>
                <c:pt idx="21">
                  <c:v>0.84000000000000019</c:v>
                </c:pt>
                <c:pt idx="22">
                  <c:v>0.88000000000000023</c:v>
                </c:pt>
                <c:pt idx="23">
                  <c:v>0.92000000000000026</c:v>
                </c:pt>
                <c:pt idx="24">
                  <c:v>0.9600000000000003</c:v>
                </c:pt>
                <c:pt idx="25">
                  <c:v>1.0000000000000002</c:v>
                </c:pt>
                <c:pt idx="26">
                  <c:v>1.0400000000000003</c:v>
                </c:pt>
                <c:pt idx="27">
                  <c:v>1.0800000000000003</c:v>
                </c:pt>
                <c:pt idx="28">
                  <c:v>1.1200000000000003</c:v>
                </c:pt>
                <c:pt idx="29">
                  <c:v>1.1600000000000004</c:v>
                </c:pt>
                <c:pt idx="30">
                  <c:v>1.2000000000000004</c:v>
                </c:pt>
                <c:pt idx="31">
                  <c:v>1.2400000000000004</c:v>
                </c:pt>
                <c:pt idx="32">
                  <c:v>1.2800000000000005</c:v>
                </c:pt>
                <c:pt idx="33">
                  <c:v>1.3200000000000005</c:v>
                </c:pt>
                <c:pt idx="34">
                  <c:v>1.3600000000000005</c:v>
                </c:pt>
                <c:pt idx="35">
                  <c:v>1.4000000000000006</c:v>
                </c:pt>
                <c:pt idx="36">
                  <c:v>1.4400000000000006</c:v>
                </c:pt>
                <c:pt idx="37">
                  <c:v>1.4800000000000006</c:v>
                </c:pt>
                <c:pt idx="38">
                  <c:v>1.5200000000000007</c:v>
                </c:pt>
                <c:pt idx="39">
                  <c:v>1.5600000000000007</c:v>
                </c:pt>
                <c:pt idx="40">
                  <c:v>1.6000000000000008</c:v>
                </c:pt>
                <c:pt idx="41">
                  <c:v>1.6400000000000008</c:v>
                </c:pt>
                <c:pt idx="42">
                  <c:v>1.6800000000000008</c:v>
                </c:pt>
                <c:pt idx="43">
                  <c:v>1.7200000000000009</c:v>
                </c:pt>
                <c:pt idx="44">
                  <c:v>1.7600000000000009</c:v>
                </c:pt>
                <c:pt idx="45">
                  <c:v>1.8000000000000009</c:v>
                </c:pt>
                <c:pt idx="46">
                  <c:v>1.840000000000001</c:v>
                </c:pt>
                <c:pt idx="47">
                  <c:v>1.880000000000001</c:v>
                </c:pt>
                <c:pt idx="48">
                  <c:v>1.920000000000001</c:v>
                </c:pt>
                <c:pt idx="49">
                  <c:v>1.9600000000000011</c:v>
                </c:pt>
                <c:pt idx="50">
                  <c:v>2.0000000000000009</c:v>
                </c:pt>
                <c:pt idx="51">
                  <c:v>2.0400000000000009</c:v>
                </c:pt>
                <c:pt idx="52">
                  <c:v>2.080000000000001</c:v>
                </c:pt>
                <c:pt idx="53">
                  <c:v>2.120000000000001</c:v>
                </c:pt>
                <c:pt idx="54">
                  <c:v>2.160000000000001</c:v>
                </c:pt>
                <c:pt idx="55">
                  <c:v>2.2000000000000011</c:v>
                </c:pt>
                <c:pt idx="56">
                  <c:v>2.2400000000000011</c:v>
                </c:pt>
                <c:pt idx="57">
                  <c:v>2.2800000000000011</c:v>
                </c:pt>
                <c:pt idx="58">
                  <c:v>2.3200000000000012</c:v>
                </c:pt>
                <c:pt idx="59">
                  <c:v>2.3600000000000012</c:v>
                </c:pt>
                <c:pt idx="60">
                  <c:v>2.4000000000000012</c:v>
                </c:pt>
                <c:pt idx="61">
                  <c:v>2.4400000000000013</c:v>
                </c:pt>
                <c:pt idx="62">
                  <c:v>2.4800000000000013</c:v>
                </c:pt>
                <c:pt idx="63">
                  <c:v>2.5200000000000014</c:v>
                </c:pt>
                <c:pt idx="64">
                  <c:v>2.5600000000000014</c:v>
                </c:pt>
                <c:pt idx="65">
                  <c:v>2.6000000000000014</c:v>
                </c:pt>
                <c:pt idx="66">
                  <c:v>2.6400000000000015</c:v>
                </c:pt>
                <c:pt idx="67">
                  <c:v>2.6800000000000015</c:v>
                </c:pt>
                <c:pt idx="68">
                  <c:v>2.7200000000000015</c:v>
                </c:pt>
                <c:pt idx="69">
                  <c:v>2.7600000000000016</c:v>
                </c:pt>
                <c:pt idx="70">
                  <c:v>2.8000000000000016</c:v>
                </c:pt>
                <c:pt idx="71">
                  <c:v>2.8400000000000016</c:v>
                </c:pt>
                <c:pt idx="72">
                  <c:v>2.8800000000000017</c:v>
                </c:pt>
                <c:pt idx="73">
                  <c:v>2.9200000000000017</c:v>
                </c:pt>
                <c:pt idx="74">
                  <c:v>2.9600000000000017</c:v>
                </c:pt>
                <c:pt idx="75">
                  <c:v>3.0000000000000018</c:v>
                </c:pt>
                <c:pt idx="76">
                  <c:v>3.0400000000000018</c:v>
                </c:pt>
                <c:pt idx="77">
                  <c:v>3.0800000000000018</c:v>
                </c:pt>
                <c:pt idx="78">
                  <c:v>3.1200000000000019</c:v>
                </c:pt>
                <c:pt idx="79">
                  <c:v>3.1600000000000019</c:v>
                </c:pt>
                <c:pt idx="80">
                  <c:v>3.200000000000002</c:v>
                </c:pt>
                <c:pt idx="81">
                  <c:v>3.240000000000002</c:v>
                </c:pt>
                <c:pt idx="82">
                  <c:v>3.280000000000002</c:v>
                </c:pt>
                <c:pt idx="83">
                  <c:v>3.3200000000000021</c:v>
                </c:pt>
                <c:pt idx="84">
                  <c:v>3.3600000000000021</c:v>
                </c:pt>
                <c:pt idx="85">
                  <c:v>3.4000000000000021</c:v>
                </c:pt>
                <c:pt idx="86">
                  <c:v>3.4400000000000022</c:v>
                </c:pt>
                <c:pt idx="87">
                  <c:v>3.4800000000000022</c:v>
                </c:pt>
                <c:pt idx="88">
                  <c:v>3.5200000000000022</c:v>
                </c:pt>
                <c:pt idx="89">
                  <c:v>3.5600000000000023</c:v>
                </c:pt>
                <c:pt idx="90">
                  <c:v>3.6000000000000023</c:v>
                </c:pt>
                <c:pt idx="91">
                  <c:v>3.6400000000000023</c:v>
                </c:pt>
                <c:pt idx="92">
                  <c:v>3.6800000000000024</c:v>
                </c:pt>
                <c:pt idx="93">
                  <c:v>3.7200000000000024</c:v>
                </c:pt>
                <c:pt idx="94">
                  <c:v>3.7600000000000025</c:v>
                </c:pt>
                <c:pt idx="95">
                  <c:v>3.8000000000000025</c:v>
                </c:pt>
                <c:pt idx="96">
                  <c:v>3.8400000000000025</c:v>
                </c:pt>
                <c:pt idx="97">
                  <c:v>3.8800000000000026</c:v>
                </c:pt>
                <c:pt idx="98">
                  <c:v>3.9200000000000026</c:v>
                </c:pt>
                <c:pt idx="99">
                  <c:v>3.9600000000000026</c:v>
                </c:pt>
                <c:pt idx="100">
                  <c:v>4.0000000000000027</c:v>
                </c:pt>
                <c:pt idx="101">
                  <c:v>4.0400000000000027</c:v>
                </c:pt>
              </c:numCache>
            </c:numRef>
          </c:xVal>
          <c:yVal>
            <c:numRef>
              <c:f>Endurance!$T$4:$T$105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2.0000001554312224E-2</c:v>
                </c:pt>
                <c:pt idx="2">
                  <c:v>4.0000003108624449E-2</c:v>
                </c:pt>
                <c:pt idx="3">
                  <c:v>6.0000004662936673E-2</c:v>
                </c:pt>
                <c:pt idx="4">
                  <c:v>7.9999995115018707E-2</c:v>
                </c:pt>
                <c:pt idx="5">
                  <c:v>9.9999996669330932E-2</c:v>
                </c:pt>
                <c:pt idx="6">
                  <c:v>0.11999999822364316</c:v>
                </c:pt>
                <c:pt idx="7">
                  <c:v>0.13999999977795538</c:v>
                </c:pt>
                <c:pt idx="8">
                  <c:v>0.16000000133226761</c:v>
                </c:pt>
                <c:pt idx="9">
                  <c:v>0.18000000288657983</c:v>
                </c:pt>
                <c:pt idx="10">
                  <c:v>0.20000000444089205</c:v>
                </c:pt>
                <c:pt idx="11">
                  <c:v>0.21999999489297409</c:v>
                </c:pt>
                <c:pt idx="12">
                  <c:v>0.23999999644728631</c:v>
                </c:pt>
                <c:pt idx="13">
                  <c:v>0.25999999800159856</c:v>
                </c:pt>
                <c:pt idx="14">
                  <c:v>0.27999999955591076</c:v>
                </c:pt>
                <c:pt idx="15">
                  <c:v>0.30000000111022301</c:v>
                </c:pt>
                <c:pt idx="16">
                  <c:v>0.32000000266453521</c:v>
                </c:pt>
                <c:pt idx="17">
                  <c:v>0.34000000421884746</c:v>
                </c:pt>
                <c:pt idx="18">
                  <c:v>0.35999999467092947</c:v>
                </c:pt>
                <c:pt idx="19">
                  <c:v>0.37999999622524172</c:v>
                </c:pt>
                <c:pt idx="20">
                  <c:v>0.39999999777955392</c:v>
                </c:pt>
                <c:pt idx="21">
                  <c:v>0.41999999933386617</c:v>
                </c:pt>
                <c:pt idx="22">
                  <c:v>0.44000000088817837</c:v>
                </c:pt>
                <c:pt idx="23">
                  <c:v>0.46000000244249062</c:v>
                </c:pt>
                <c:pt idx="24">
                  <c:v>0.48000000399680282</c:v>
                </c:pt>
                <c:pt idx="25">
                  <c:v>0.49999999444888488</c:v>
                </c:pt>
                <c:pt idx="26">
                  <c:v>0.51999999600319713</c:v>
                </c:pt>
                <c:pt idx="27">
                  <c:v>0.53999999755750927</c:v>
                </c:pt>
                <c:pt idx="28">
                  <c:v>0.55999999911182152</c:v>
                </c:pt>
                <c:pt idx="29">
                  <c:v>0.58000000066613377</c:v>
                </c:pt>
                <c:pt idx="30">
                  <c:v>0.60000000222044603</c:v>
                </c:pt>
                <c:pt idx="31">
                  <c:v>0.62000000377475817</c:v>
                </c:pt>
                <c:pt idx="32">
                  <c:v>0.64000000532907042</c:v>
                </c:pt>
                <c:pt idx="33">
                  <c:v>0.65999999578115243</c:v>
                </c:pt>
                <c:pt idx="34">
                  <c:v>0.67999999733546468</c:v>
                </c:pt>
                <c:pt idx="35">
                  <c:v>0.69999999888977693</c:v>
                </c:pt>
                <c:pt idx="36">
                  <c:v>0.72000000044408918</c:v>
                </c:pt>
                <c:pt idx="37">
                  <c:v>0.74000000199840144</c:v>
                </c:pt>
                <c:pt idx="38">
                  <c:v>0.76000000355271358</c:v>
                </c:pt>
                <c:pt idx="39">
                  <c:v>0.78000000510702583</c:v>
                </c:pt>
                <c:pt idx="40">
                  <c:v>0.80000000666133808</c:v>
                </c:pt>
                <c:pt idx="41">
                  <c:v>0.81999999711342009</c:v>
                </c:pt>
                <c:pt idx="42">
                  <c:v>0.83999999866773234</c:v>
                </c:pt>
                <c:pt idx="43">
                  <c:v>0.86000000022204459</c:v>
                </c:pt>
                <c:pt idx="44">
                  <c:v>0.88000000177635673</c:v>
                </c:pt>
                <c:pt idx="45">
                  <c:v>0.90000000333066899</c:v>
                </c:pt>
                <c:pt idx="46">
                  <c:v>0.92000000488498124</c:v>
                </c:pt>
                <c:pt idx="47">
                  <c:v>0.94000000643929349</c:v>
                </c:pt>
                <c:pt idx="48">
                  <c:v>0.96000000799360563</c:v>
                </c:pt>
                <c:pt idx="49">
                  <c:v>0.98000000954791788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64416"/>
        <c:axId val="145566336"/>
      </c:scatterChart>
      <c:valAx>
        <c:axId val="145564416"/>
        <c:scaling>
          <c:orientation val="minMax"/>
          <c:max val="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566336"/>
        <c:crosses val="autoZero"/>
        <c:crossBetween val="midCat"/>
      </c:valAx>
      <c:valAx>
        <c:axId val="1455663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564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908382256104914"/>
          <c:y val="0.25016384693887106"/>
          <c:w val="0.68577555409740454"/>
          <c:h val="0.57589624275562468"/>
        </c:manualLayout>
      </c:layout>
      <c:scatterChart>
        <c:scatterStyle val="lineMarker"/>
        <c:varyColors val="0"/>
        <c:ser>
          <c:idx val="3"/>
          <c:order val="0"/>
          <c:tx>
            <c:strRef>
              <c:f>'Comm V(x)'!$A$5</c:f>
              <c:strCache>
                <c:ptCount val="1"/>
                <c:pt idx="0">
                  <c:v>Receiver Sensitivity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79861111111111116"/>
                  <c:y val="-0.26029600466608338"/>
                </c:manualLayout>
              </c:layout>
              <c:numFmt formatCode="General" sourceLinked="0"/>
            </c:trendlineLbl>
          </c:trendline>
          <c:xVal>
            <c:numRef>
              <c:f>'Comm V(x)'!$E$5:$O$5</c:f>
              <c:numCache>
                <c:formatCode>General</c:formatCode>
                <c:ptCount val="11"/>
                <c:pt idx="0">
                  <c:v>-80</c:v>
                </c:pt>
                <c:pt idx="10">
                  <c:v>-120</c:v>
                </c:pt>
              </c:numCache>
            </c:numRef>
          </c:xVal>
          <c:yVal>
            <c:numRef>
              <c:f>'Comm V(x)'!$E$2:$O$2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70176"/>
        <c:axId val="153972096"/>
      </c:scatterChart>
      <c:valAx>
        <c:axId val="153970176"/>
        <c:scaling>
          <c:orientation val="maxMin"/>
          <c:max val="-80"/>
          <c:min val="-1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Sensitivity</a:t>
                </a:r>
                <a:r>
                  <a:rPr lang="en-US" baseline="0"/>
                  <a:t> (dBm)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3972096"/>
        <c:crosses val="autoZero"/>
        <c:crossBetween val="midCat"/>
      </c:valAx>
      <c:valAx>
        <c:axId val="153972096"/>
        <c:scaling>
          <c:orientation val="minMax"/>
          <c:max val="1"/>
          <c:min val="0"/>
        </c:scaling>
        <c:delete val="0"/>
        <c:axPos val="r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>
            <c:manualLayout>
              <c:xMode val="edge"/>
              <c:yMode val="edge"/>
              <c:x val="1.0549697188912405E-4"/>
              <c:y val="0.45575430449315119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153970176"/>
        <c:crosses val="autoZero"/>
        <c:crossBetween val="midCat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791976523767866"/>
          <c:y val="0.39743766404199476"/>
          <c:w val="0.25030165500145818"/>
          <c:h val="0.136313065033537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Technology Maturity Level</a:t>
            </a:r>
          </a:p>
        </c:rich>
      </c:tx>
      <c:layout>
        <c:manualLayout>
          <c:xMode val="edge"/>
          <c:yMode val="edge"/>
          <c:x val="0.2526016260162601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826451571602328E-2"/>
          <c:y val="0.19372725163498208"/>
          <c:w val="0.78893737241178186"/>
          <c:h val="0.60634713565001019"/>
        </c:manualLayout>
      </c:layout>
      <c:scatterChart>
        <c:scatterStyle val="lineMarker"/>
        <c:varyColors val="0"/>
        <c:ser>
          <c:idx val="3"/>
          <c:order val="0"/>
          <c:tx>
            <c:strRef>
              <c:f>'Comm V(x)'!$A$8</c:f>
              <c:strCache>
                <c:ptCount val="1"/>
                <c:pt idx="0">
                  <c:v>Technology Maturity Level</c:v>
                </c:pt>
              </c:strCache>
            </c:strRef>
          </c:tx>
          <c:trendline>
            <c:spPr>
              <a:ln w="22225">
                <a:solidFill>
                  <a:schemeClr val="accent4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31927028776668392"/>
                  <c:y val="0.4378513889493254"/>
                </c:manualLayout>
              </c:layout>
              <c:numFmt formatCode="General" sourceLinked="0"/>
            </c:trendlineLbl>
          </c:trendline>
          <c:xVal>
            <c:numRef>
              <c:f>'Comm V(x)'!$E$8:$O$8</c:f>
              <c:numCache>
                <c:formatCode>General</c:formatCode>
                <c:ptCount val="11"/>
                <c:pt idx="0">
                  <c:v>-2</c:v>
                </c:pt>
                <c:pt idx="10">
                  <c:v>5</c:v>
                </c:pt>
              </c:numCache>
            </c:numRef>
          </c:xVal>
          <c:yVal>
            <c:numRef>
              <c:f>'Comm V(x)'!$E$2:$O$2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211456"/>
        <c:axId val="154213376"/>
      </c:scatterChart>
      <c:valAx>
        <c:axId val="1542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in Service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4213376"/>
        <c:crosses val="autoZero"/>
        <c:crossBetween val="midCat"/>
        <c:majorUnit val="1"/>
      </c:valAx>
      <c:valAx>
        <c:axId val="15421337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4211456"/>
        <c:crosses val="autoZero"/>
        <c:crossBetween val="midCat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6955854476523768"/>
          <c:y val="0.55299103237095359"/>
          <c:w val="0.31886738116068825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HADR Communcation Payload Importance Weights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'Comm V(x)'!$B$2</c:f>
              <c:strCache>
                <c:ptCount val="1"/>
                <c:pt idx="0">
                  <c:v>Weights</c:v>
                </c:pt>
              </c:strCache>
            </c:strRef>
          </c:tx>
          <c:dLbls>
            <c:dLbl>
              <c:idx val="0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1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2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3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4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'Comm V(x)'!$A$3:$A$8</c:f>
              <c:strCache>
                <c:ptCount val="6"/>
                <c:pt idx="0">
                  <c:v>Throughput</c:v>
                </c:pt>
                <c:pt idx="1">
                  <c:v>Power Output</c:v>
                </c:pt>
                <c:pt idx="2">
                  <c:v>Receiver Sensitivity</c:v>
                </c:pt>
                <c:pt idx="3">
                  <c:v>Mesh</c:v>
                </c:pt>
                <c:pt idx="4">
                  <c:v>Data Type</c:v>
                </c:pt>
                <c:pt idx="5">
                  <c:v>Technology Maturity Level</c:v>
                </c:pt>
              </c:strCache>
            </c:strRef>
          </c:cat>
          <c:val>
            <c:numRef>
              <c:f>'Comm V(x)'!$B$3:$B$8</c:f>
              <c:numCache>
                <c:formatCode>General</c:formatCode>
                <c:ptCount val="6"/>
                <c:pt idx="0">
                  <c:v>0.3</c:v>
                </c:pt>
                <c:pt idx="1">
                  <c:v>0.25</c:v>
                </c:pt>
                <c:pt idx="2">
                  <c:v>0.15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4839967920676588E-2"/>
          <c:y val="0.12228293825957021"/>
          <c:w val="0.83164224263633713"/>
          <c:h val="0.76773379354977889"/>
        </c:manualLayout>
      </c:layout>
      <c:scatterChart>
        <c:scatterStyle val="lineMarker"/>
        <c:varyColors val="1"/>
        <c:ser>
          <c:idx val="0"/>
          <c:order val="0"/>
          <c:tx>
            <c:strRef>
              <c:f>'Comm MOE'!$C$2</c:f>
              <c:strCache>
                <c:ptCount val="1"/>
                <c:pt idx="0">
                  <c:v>Wave Relay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2238513500478173E-3"/>
                  <c:y val="4.045408358233144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MOE'!$C$10</c:f>
              <c:numCache>
                <c:formatCode>0</c:formatCode>
                <c:ptCount val="1"/>
                <c:pt idx="0">
                  <c:v>3640</c:v>
                </c:pt>
              </c:numCache>
            </c:numRef>
          </c:xVal>
          <c:yVal>
            <c:numRef>
              <c:f>'Comm MOE'!$C$1</c:f>
              <c:numCache>
                <c:formatCode>General</c:formatCode>
                <c:ptCount val="1"/>
                <c:pt idx="0">
                  <c:v>0.34657715668200006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'Comm MOE'!$D$2</c:f>
              <c:strCache>
                <c:ptCount val="1"/>
                <c:pt idx="0">
                  <c:v>Wave Relay Quad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20834627442403036"/>
                  <c:y val="-9.326607611548557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MOE'!$D$10</c:f>
              <c:numCache>
                <c:formatCode>0</c:formatCode>
                <c:ptCount val="1"/>
                <c:pt idx="0">
                  <c:v>7142</c:v>
                </c:pt>
              </c:numCache>
            </c:numRef>
          </c:xVal>
          <c:yVal>
            <c:numRef>
              <c:f>'Comm MOE'!$D$1</c:f>
              <c:numCache>
                <c:formatCode>General</c:formatCode>
                <c:ptCount val="1"/>
                <c:pt idx="0">
                  <c:v>0.58523315668200016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'Comm MOE'!$G$2</c:f>
              <c:strCache>
                <c:ptCount val="1"/>
                <c:pt idx="0">
                  <c:v>WildCat II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2592592592591737E-3"/>
                  <c:y val="9.108705161854831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MOE'!$G$10</c:f>
              <c:numCache>
                <c:formatCode>0</c:formatCode>
                <c:ptCount val="1"/>
                <c:pt idx="0">
                  <c:v>50000</c:v>
                </c:pt>
              </c:numCache>
            </c:numRef>
          </c:xVal>
          <c:yVal>
            <c:numRef>
              <c:f>'Comm MOE'!$G$1</c:f>
              <c:numCache>
                <c:formatCode>General</c:formatCode>
                <c:ptCount val="1"/>
                <c:pt idx="0">
                  <c:v>0.44849278340799992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'Comm MOE'!$H$2</c:f>
              <c:strCache>
                <c:ptCount val="1"/>
                <c:pt idx="0">
                  <c:v>Ocelot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2598425196850396E-3"/>
                  <c:y val="-1.403023840769903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MOE'!$H$10</c:f>
              <c:numCache>
                <c:formatCode>0</c:formatCode>
                <c:ptCount val="1"/>
                <c:pt idx="0">
                  <c:v>10000</c:v>
                </c:pt>
              </c:numCache>
            </c:numRef>
          </c:xVal>
          <c:yVal>
            <c:numRef>
              <c:f>'Comm MOE'!$H$1</c:f>
              <c:numCache>
                <c:formatCode>General</c:formatCode>
                <c:ptCount val="1"/>
                <c:pt idx="0">
                  <c:v>0.31594315668200001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'Comm MOE'!$I$2</c:f>
              <c:strCache>
                <c:ptCount val="1"/>
                <c:pt idx="0">
                  <c:v>Falcon III RF-7800W OU440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1785505978419362E-3"/>
                  <c:y val="2.419646762904630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MOE'!$I$10</c:f>
              <c:numCache>
                <c:formatCode>0</c:formatCode>
                <c:ptCount val="1"/>
                <c:pt idx="0">
                  <c:v>25000</c:v>
                </c:pt>
              </c:numCache>
            </c:numRef>
          </c:xVal>
          <c:yVal>
            <c:numRef>
              <c:f>'Comm MOE'!$I$1</c:f>
              <c:numCache>
                <c:formatCode>General</c:formatCode>
                <c:ptCount val="1"/>
                <c:pt idx="0">
                  <c:v>0.54581903373341578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'Comm MOE'!$J$2</c:f>
              <c:strCache>
                <c:ptCount val="1"/>
                <c:pt idx="0">
                  <c:v>Falcon III AN/PRC-117G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21183344269466317"/>
                  <c:y val="1.066683070866141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MOE'!$J$10</c:f>
              <c:numCache>
                <c:formatCode>0</c:formatCode>
                <c:ptCount val="1"/>
                <c:pt idx="0">
                  <c:v>25000</c:v>
                </c:pt>
              </c:numCache>
            </c:numRef>
          </c:xVal>
          <c:yVal>
            <c:numRef>
              <c:f>'Comm MOE'!$J$1</c:f>
              <c:numCache>
                <c:formatCode>General</c:formatCode>
                <c:ptCount val="1"/>
                <c:pt idx="0">
                  <c:v>0.44351046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'Comm MOE'!$F$2</c:f>
              <c:strCache>
                <c:ptCount val="1"/>
                <c:pt idx="0">
                  <c:v>Xiphos - 1RU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MOE'!$F$10</c:f>
              <c:numCache>
                <c:formatCode>0</c:formatCode>
                <c:ptCount val="1"/>
                <c:pt idx="0">
                  <c:v>681332</c:v>
                </c:pt>
              </c:numCache>
            </c:numRef>
          </c:xVal>
          <c:yVal>
            <c:numRef>
              <c:f>'Comm MOE'!$F$1</c:f>
              <c:numCache>
                <c:formatCode>General</c:formatCode>
                <c:ptCount val="1"/>
                <c:pt idx="0">
                  <c:v>0.77213431599999982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'Comm MOE'!$E$2</c:f>
              <c:strCache>
                <c:ptCount val="1"/>
                <c:pt idx="0">
                  <c:v>Xiphos - 6RU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MOE'!$E$10</c:f>
              <c:numCache>
                <c:formatCode>0</c:formatCode>
                <c:ptCount val="1"/>
                <c:pt idx="0">
                  <c:v>1378914</c:v>
                </c:pt>
              </c:numCache>
            </c:numRef>
          </c:xVal>
          <c:yVal>
            <c:numRef>
              <c:f>'Comm MOE'!$E$1</c:f>
              <c:numCache>
                <c:formatCode>General</c:formatCode>
                <c:ptCount val="1"/>
                <c:pt idx="0">
                  <c:v>0.94649401599999994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'Comm MOE'!$K$2</c:f>
              <c:strCache>
                <c:ptCount val="1"/>
                <c:pt idx="0">
                  <c:v>Digital Data Link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MOE'!$K$10</c:f>
              <c:numCache>
                <c:formatCode>0</c:formatCode>
                <c:ptCount val="1"/>
                <c:pt idx="0">
                  <c:v>5000</c:v>
                </c:pt>
              </c:numCache>
            </c:numRef>
          </c:xVal>
          <c:yVal>
            <c:numRef>
              <c:f>'Comm MOE'!$K$1</c:f>
              <c:numCache>
                <c:formatCode>General</c:formatCode>
                <c:ptCount val="1"/>
                <c:pt idx="0">
                  <c:v>0.21983503566537502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54427392"/>
        <c:axId val="154429312"/>
      </c:scatterChart>
      <c:valAx>
        <c:axId val="15442739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(BY</a:t>
                </a:r>
                <a:r>
                  <a:rPr lang="en-US" baseline="0"/>
                  <a:t> 2013 $)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in"/>
        <c:tickLblPos val="nextTo"/>
        <c:crossAx val="154429312"/>
        <c:crosses val="autoZero"/>
        <c:crossBetween val="midCat"/>
      </c:valAx>
      <c:valAx>
        <c:axId val="15442931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154427392"/>
        <c:crosses val="autoZero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358085447652388E-2"/>
          <c:y val="0.12228293825957021"/>
          <c:w val="0.84012430737824439"/>
          <c:h val="0.77800781911018491"/>
        </c:manualLayout>
      </c:layout>
      <c:scatterChart>
        <c:scatterStyle val="lineMarker"/>
        <c:varyColors val="1"/>
        <c:ser>
          <c:idx val="0"/>
          <c:order val="0"/>
          <c:tx>
            <c:strRef>
              <c:f>'Comm MOE'!$C$2</c:f>
              <c:strCache>
                <c:ptCount val="1"/>
                <c:pt idx="0">
                  <c:v>Wave Relay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2238513500478173E-3"/>
                  <c:y val="4.045408358233144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MOE'!$C$10</c:f>
              <c:numCache>
                <c:formatCode>0</c:formatCode>
                <c:ptCount val="1"/>
                <c:pt idx="0">
                  <c:v>3640</c:v>
                </c:pt>
              </c:numCache>
            </c:numRef>
          </c:xVal>
          <c:yVal>
            <c:numRef>
              <c:f>'Comm MOE'!$C$1</c:f>
              <c:numCache>
                <c:formatCode>General</c:formatCode>
                <c:ptCount val="1"/>
                <c:pt idx="0">
                  <c:v>0.34657715668200006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'Comm MOE'!$D$2</c:f>
              <c:strCache>
                <c:ptCount val="1"/>
                <c:pt idx="0">
                  <c:v>Wave Relay Quad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20594032516768737"/>
                  <c:y val="-8.0872703412073496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MOE'!$D$10</c:f>
              <c:numCache>
                <c:formatCode>0</c:formatCode>
                <c:ptCount val="1"/>
                <c:pt idx="0">
                  <c:v>7142</c:v>
                </c:pt>
              </c:numCache>
            </c:numRef>
          </c:xVal>
          <c:yVal>
            <c:numRef>
              <c:f>'Comm MOE'!$D$1</c:f>
              <c:numCache>
                <c:formatCode>General</c:formatCode>
                <c:ptCount val="1"/>
                <c:pt idx="0">
                  <c:v>0.58523315668200016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'Comm MOE'!$I$2</c:f>
              <c:strCache>
                <c:ptCount val="1"/>
                <c:pt idx="0">
                  <c:v>Falcon III RF-7800W OU440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3482064741907261E-3"/>
                  <c:y val="2.16896325459318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MOE'!$I$10</c:f>
              <c:numCache>
                <c:formatCode>0</c:formatCode>
                <c:ptCount val="1"/>
                <c:pt idx="0">
                  <c:v>25000</c:v>
                </c:pt>
              </c:numCache>
            </c:numRef>
          </c:xVal>
          <c:yVal>
            <c:numRef>
              <c:f>'Comm MOE'!$I$1</c:f>
              <c:numCache>
                <c:formatCode>General</c:formatCode>
                <c:ptCount val="1"/>
                <c:pt idx="0">
                  <c:v>0.54581903373341578</c:v>
                </c:pt>
              </c:numCache>
            </c:numRef>
          </c:yVal>
          <c:smooth val="0"/>
        </c:ser>
        <c:ser>
          <c:idx val="6"/>
          <c:order val="3"/>
          <c:tx>
            <c:strRef>
              <c:f>'Comm MOE'!$F$2</c:f>
              <c:strCache>
                <c:ptCount val="1"/>
                <c:pt idx="0">
                  <c:v>Xiphos - 1RU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MOE'!$F$10</c:f>
              <c:numCache>
                <c:formatCode>0</c:formatCode>
                <c:ptCount val="1"/>
                <c:pt idx="0">
                  <c:v>681332</c:v>
                </c:pt>
              </c:numCache>
            </c:numRef>
          </c:xVal>
          <c:yVal>
            <c:numRef>
              <c:f>'Comm MOE'!$F$1</c:f>
              <c:numCache>
                <c:formatCode>General</c:formatCode>
                <c:ptCount val="1"/>
                <c:pt idx="0">
                  <c:v>0.77213431599999982</c:v>
                </c:pt>
              </c:numCache>
            </c:numRef>
          </c:yVal>
          <c:smooth val="0"/>
        </c:ser>
        <c:ser>
          <c:idx val="2"/>
          <c:order val="4"/>
          <c:tx>
            <c:strRef>
              <c:f>'Comm MOE'!$E$2</c:f>
              <c:strCache>
                <c:ptCount val="1"/>
                <c:pt idx="0">
                  <c:v>Xiphos - 6RU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MOE'!$E$10</c:f>
              <c:numCache>
                <c:formatCode>0</c:formatCode>
                <c:ptCount val="1"/>
                <c:pt idx="0">
                  <c:v>1378914</c:v>
                </c:pt>
              </c:numCache>
            </c:numRef>
          </c:xVal>
          <c:yVal>
            <c:numRef>
              <c:f>'Comm MOE'!$E$1</c:f>
              <c:numCache>
                <c:formatCode>General</c:formatCode>
                <c:ptCount val="1"/>
                <c:pt idx="0">
                  <c:v>0.94649401599999994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54545152"/>
        <c:axId val="154551424"/>
      </c:scatterChart>
      <c:valAx>
        <c:axId val="15454515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(BY</a:t>
                </a:r>
                <a:r>
                  <a:rPr lang="en-US" baseline="0"/>
                  <a:t> 2013 $)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in"/>
        <c:tickLblPos val="nextTo"/>
        <c:crossAx val="154551424"/>
        <c:crosses val="autoZero"/>
        <c:crossBetween val="midCat"/>
      </c:valAx>
      <c:valAx>
        <c:axId val="15455142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154545152"/>
        <c:crosses val="autoZero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MOE vs Cost - HADR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97499270924466E-2"/>
          <c:y val="0.12228293825957021"/>
          <c:w val="0.8296185112277632"/>
          <c:h val="0.7641188210848644"/>
        </c:manualLayout>
      </c:layout>
      <c:scatterChart>
        <c:scatterStyle val="lineMarker"/>
        <c:varyColors val="1"/>
        <c:ser>
          <c:idx val="6"/>
          <c:order val="0"/>
          <c:tx>
            <c:strRef>
              <c:f>'Comm MOE'!$F$2</c:f>
              <c:strCache>
                <c:ptCount val="1"/>
                <c:pt idx="0">
                  <c:v>Xiphos - 1RU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MOE'!$F$10</c:f>
              <c:numCache>
                <c:formatCode>0</c:formatCode>
                <c:ptCount val="1"/>
                <c:pt idx="0">
                  <c:v>681332</c:v>
                </c:pt>
              </c:numCache>
            </c:numRef>
          </c:xVal>
          <c:yVal>
            <c:numRef>
              <c:f>'Comm MOE'!$F$1</c:f>
              <c:numCache>
                <c:formatCode>General</c:formatCode>
                <c:ptCount val="1"/>
                <c:pt idx="0">
                  <c:v>0.77213431599999982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'Comm MOE'!$E$2</c:f>
              <c:strCache>
                <c:ptCount val="1"/>
                <c:pt idx="0">
                  <c:v>Xiphos - 6RU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'Comm MOE'!$E$10</c:f>
              <c:numCache>
                <c:formatCode>0</c:formatCode>
                <c:ptCount val="1"/>
                <c:pt idx="0">
                  <c:v>1378914</c:v>
                </c:pt>
              </c:numCache>
            </c:numRef>
          </c:xVal>
          <c:yVal>
            <c:numRef>
              <c:f>'Comm MOE'!$E$1</c:f>
              <c:numCache>
                <c:formatCode>General</c:formatCode>
                <c:ptCount val="1"/>
                <c:pt idx="0">
                  <c:v>0.94649401599999994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54569344"/>
        <c:axId val="154600192"/>
      </c:scatterChart>
      <c:valAx>
        <c:axId val="1545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(BY</a:t>
                </a:r>
                <a:r>
                  <a:rPr lang="en-US" baseline="0"/>
                  <a:t> 2013 $)</a:t>
                </a:r>
                <a:endParaRPr lang="en-US"/>
              </a:p>
            </c:rich>
          </c:tx>
          <c:overlay val="0"/>
        </c:title>
        <c:numFmt formatCode="#,##0" sourceLinked="0"/>
        <c:majorTickMark val="out"/>
        <c:minorTickMark val="in"/>
        <c:tickLblPos val="nextTo"/>
        <c:crossAx val="154600192"/>
        <c:crosses val="autoZero"/>
        <c:crossBetween val="midCat"/>
      </c:valAx>
      <c:valAx>
        <c:axId val="15460019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154569344"/>
        <c:crosses val="autoZero"/>
        <c:crossBetween val="midCat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Range value function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Range!$A$2:$A$12</c:f>
              <c:numCache>
                <c:formatCode>General</c:formatCode>
                <c:ptCount val="11"/>
                <c:pt idx="0">
                  <c:v>150</c:v>
                </c:pt>
                <c:pt idx="1">
                  <c:v>160</c:v>
                </c:pt>
                <c:pt idx="2">
                  <c:v>170</c:v>
                </c:pt>
                <c:pt idx="3">
                  <c:v>200</c:v>
                </c:pt>
                <c:pt idx="4">
                  <c:v>210</c:v>
                </c:pt>
                <c:pt idx="5">
                  <c:v>225</c:v>
                </c:pt>
                <c:pt idx="6">
                  <c:v>240</c:v>
                </c:pt>
                <c:pt idx="7">
                  <c:v>255</c:v>
                </c:pt>
                <c:pt idx="8">
                  <c:v>260</c:v>
                </c:pt>
                <c:pt idx="9">
                  <c:v>295</c:v>
                </c:pt>
                <c:pt idx="10">
                  <c:v>350</c:v>
                </c:pt>
              </c:numCache>
            </c:numRef>
          </c:xVal>
          <c:yVal>
            <c:numRef>
              <c:f>Range!$B$2:$B$12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Range!$S$4:$S$105</c:f>
              <c:numCache>
                <c:formatCode>General</c:formatCode>
                <c:ptCount val="102"/>
                <c:pt idx="0">
                  <c:v>150</c:v>
                </c:pt>
                <c:pt idx="1">
                  <c:v>154</c:v>
                </c:pt>
                <c:pt idx="2">
                  <c:v>158</c:v>
                </c:pt>
                <c:pt idx="3">
                  <c:v>162</c:v>
                </c:pt>
                <c:pt idx="4">
                  <c:v>166</c:v>
                </c:pt>
                <c:pt idx="5">
                  <c:v>170</c:v>
                </c:pt>
                <c:pt idx="6">
                  <c:v>174</c:v>
                </c:pt>
                <c:pt idx="7">
                  <c:v>178</c:v>
                </c:pt>
                <c:pt idx="8">
                  <c:v>182</c:v>
                </c:pt>
                <c:pt idx="9">
                  <c:v>186</c:v>
                </c:pt>
                <c:pt idx="10">
                  <c:v>190</c:v>
                </c:pt>
                <c:pt idx="11">
                  <c:v>194</c:v>
                </c:pt>
                <c:pt idx="12">
                  <c:v>198</c:v>
                </c:pt>
                <c:pt idx="13">
                  <c:v>202</c:v>
                </c:pt>
                <c:pt idx="14">
                  <c:v>206</c:v>
                </c:pt>
                <c:pt idx="15">
                  <c:v>210</c:v>
                </c:pt>
                <c:pt idx="16">
                  <c:v>214</c:v>
                </c:pt>
                <c:pt idx="17">
                  <c:v>218</c:v>
                </c:pt>
                <c:pt idx="18">
                  <c:v>222</c:v>
                </c:pt>
                <c:pt idx="19">
                  <c:v>226</c:v>
                </c:pt>
                <c:pt idx="20">
                  <c:v>230</c:v>
                </c:pt>
                <c:pt idx="21">
                  <c:v>234</c:v>
                </c:pt>
                <c:pt idx="22">
                  <c:v>238</c:v>
                </c:pt>
                <c:pt idx="23">
                  <c:v>242</c:v>
                </c:pt>
                <c:pt idx="24">
                  <c:v>246</c:v>
                </c:pt>
                <c:pt idx="25">
                  <c:v>250</c:v>
                </c:pt>
                <c:pt idx="26">
                  <c:v>254</c:v>
                </c:pt>
                <c:pt idx="27">
                  <c:v>258</c:v>
                </c:pt>
                <c:pt idx="28">
                  <c:v>262</c:v>
                </c:pt>
                <c:pt idx="29">
                  <c:v>266</c:v>
                </c:pt>
                <c:pt idx="30">
                  <c:v>270</c:v>
                </c:pt>
                <c:pt idx="31">
                  <c:v>274</c:v>
                </c:pt>
                <c:pt idx="32">
                  <c:v>278</c:v>
                </c:pt>
                <c:pt idx="33">
                  <c:v>282</c:v>
                </c:pt>
                <c:pt idx="34">
                  <c:v>286</c:v>
                </c:pt>
                <c:pt idx="35">
                  <c:v>290</c:v>
                </c:pt>
                <c:pt idx="36">
                  <c:v>294</c:v>
                </c:pt>
                <c:pt idx="37">
                  <c:v>298</c:v>
                </c:pt>
                <c:pt idx="38">
                  <c:v>302</c:v>
                </c:pt>
                <c:pt idx="39">
                  <c:v>306</c:v>
                </c:pt>
                <c:pt idx="40">
                  <c:v>310</c:v>
                </c:pt>
                <c:pt idx="41">
                  <c:v>314</c:v>
                </c:pt>
                <c:pt idx="42">
                  <c:v>318</c:v>
                </c:pt>
                <c:pt idx="43">
                  <c:v>322</c:v>
                </c:pt>
                <c:pt idx="44">
                  <c:v>326</c:v>
                </c:pt>
                <c:pt idx="45">
                  <c:v>330</c:v>
                </c:pt>
                <c:pt idx="46">
                  <c:v>334</c:v>
                </c:pt>
                <c:pt idx="47">
                  <c:v>338</c:v>
                </c:pt>
                <c:pt idx="48">
                  <c:v>342</c:v>
                </c:pt>
                <c:pt idx="49">
                  <c:v>346</c:v>
                </c:pt>
                <c:pt idx="50">
                  <c:v>350</c:v>
                </c:pt>
                <c:pt idx="51">
                  <c:v>354</c:v>
                </c:pt>
                <c:pt idx="52">
                  <c:v>358</c:v>
                </c:pt>
                <c:pt idx="53">
                  <c:v>362</c:v>
                </c:pt>
                <c:pt idx="54">
                  <c:v>366</c:v>
                </c:pt>
                <c:pt idx="55">
                  <c:v>370</c:v>
                </c:pt>
                <c:pt idx="56">
                  <c:v>374</c:v>
                </c:pt>
                <c:pt idx="57">
                  <c:v>378</c:v>
                </c:pt>
                <c:pt idx="58">
                  <c:v>382</c:v>
                </c:pt>
                <c:pt idx="59">
                  <c:v>386</c:v>
                </c:pt>
                <c:pt idx="60">
                  <c:v>390</c:v>
                </c:pt>
                <c:pt idx="61">
                  <c:v>394</c:v>
                </c:pt>
                <c:pt idx="62">
                  <c:v>398</c:v>
                </c:pt>
                <c:pt idx="63">
                  <c:v>402</c:v>
                </c:pt>
                <c:pt idx="64">
                  <c:v>406</c:v>
                </c:pt>
                <c:pt idx="65">
                  <c:v>410</c:v>
                </c:pt>
                <c:pt idx="66">
                  <c:v>414</c:v>
                </c:pt>
                <c:pt idx="67">
                  <c:v>418</c:v>
                </c:pt>
                <c:pt idx="68">
                  <c:v>422</c:v>
                </c:pt>
                <c:pt idx="69">
                  <c:v>426</c:v>
                </c:pt>
                <c:pt idx="70">
                  <c:v>430</c:v>
                </c:pt>
                <c:pt idx="71">
                  <c:v>434</c:v>
                </c:pt>
                <c:pt idx="72">
                  <c:v>438</c:v>
                </c:pt>
                <c:pt idx="73">
                  <c:v>442</c:v>
                </c:pt>
                <c:pt idx="74">
                  <c:v>446</c:v>
                </c:pt>
                <c:pt idx="75">
                  <c:v>450</c:v>
                </c:pt>
                <c:pt idx="76">
                  <c:v>454</c:v>
                </c:pt>
                <c:pt idx="77">
                  <c:v>458</c:v>
                </c:pt>
                <c:pt idx="78">
                  <c:v>462</c:v>
                </c:pt>
                <c:pt idx="79">
                  <c:v>466</c:v>
                </c:pt>
                <c:pt idx="80">
                  <c:v>470</c:v>
                </c:pt>
                <c:pt idx="81">
                  <c:v>474</c:v>
                </c:pt>
                <c:pt idx="82">
                  <c:v>478</c:v>
                </c:pt>
                <c:pt idx="83">
                  <c:v>482</c:v>
                </c:pt>
                <c:pt idx="84">
                  <c:v>486</c:v>
                </c:pt>
                <c:pt idx="85">
                  <c:v>490</c:v>
                </c:pt>
                <c:pt idx="86">
                  <c:v>494</c:v>
                </c:pt>
                <c:pt idx="87">
                  <c:v>498</c:v>
                </c:pt>
                <c:pt idx="88">
                  <c:v>502</c:v>
                </c:pt>
                <c:pt idx="89">
                  <c:v>506</c:v>
                </c:pt>
                <c:pt idx="90">
                  <c:v>510</c:v>
                </c:pt>
                <c:pt idx="91">
                  <c:v>514</c:v>
                </c:pt>
                <c:pt idx="92">
                  <c:v>518</c:v>
                </c:pt>
                <c:pt idx="93">
                  <c:v>522</c:v>
                </c:pt>
                <c:pt idx="94">
                  <c:v>526</c:v>
                </c:pt>
                <c:pt idx="95">
                  <c:v>530</c:v>
                </c:pt>
                <c:pt idx="96">
                  <c:v>534</c:v>
                </c:pt>
                <c:pt idx="97">
                  <c:v>538</c:v>
                </c:pt>
                <c:pt idx="98">
                  <c:v>542</c:v>
                </c:pt>
                <c:pt idx="99">
                  <c:v>546</c:v>
                </c:pt>
                <c:pt idx="100">
                  <c:v>550</c:v>
                </c:pt>
                <c:pt idx="101">
                  <c:v>554</c:v>
                </c:pt>
              </c:numCache>
            </c:numRef>
          </c:xVal>
          <c:yVal>
            <c:numRef>
              <c:f>Range!$T$4:$T$105</c:f>
              <c:numCache>
                <c:formatCode>General</c:formatCode>
                <c:ptCount val="102"/>
                <c:pt idx="0">
                  <c:v>0</c:v>
                </c:pt>
                <c:pt idx="1">
                  <c:v>0.1004744355239643</c:v>
                </c:pt>
                <c:pt idx="2">
                  <c:v>0.1707705312357877</c:v>
                </c:pt>
                <c:pt idx="3">
                  <c:v>0.23034360858717845</c:v>
                </c:pt>
                <c:pt idx="4">
                  <c:v>0.2828568389910977</c:v>
                </c:pt>
                <c:pt idx="5">
                  <c:v>0.33005735002348052</c:v>
                </c:pt>
                <c:pt idx="6">
                  <c:v>0.37299167789759291</c:v>
                </c:pt>
                <c:pt idx="7">
                  <c:v>0.41236590475225887</c:v>
                </c:pt>
                <c:pt idx="8">
                  <c:v>0.44869289771608123</c:v>
                </c:pt>
                <c:pt idx="9">
                  <c:v>0.48236435758810969</c:v>
                </c:pt>
                <c:pt idx="10">
                  <c:v>0.51369048538843232</c:v>
                </c:pt>
                <c:pt idx="11">
                  <c:v>0.5429237381183335</c:v>
                </c:pt>
                <c:pt idx="12">
                  <c:v>0.57027398675194896</c:v>
                </c:pt>
                <c:pt idx="13">
                  <c:v>0.5959186797796604</c:v>
                </c:pt>
                <c:pt idx="14">
                  <c:v>0.62000993518177838</c:v>
                </c:pt>
                <c:pt idx="15">
                  <c:v>0.64267965401749594</c:v>
                </c:pt>
                <c:pt idx="16">
                  <c:v>0.66404331002643624</c:v>
                </c:pt>
                <c:pt idx="17">
                  <c:v>0.68420282415644862</c:v>
                </c:pt>
                <c:pt idx="18">
                  <c:v>0.70324878898504817</c:v>
                </c:pt>
                <c:pt idx="19">
                  <c:v>0.72126222015901387</c:v>
                </c:pt>
                <c:pt idx="20">
                  <c:v>0.73831595649840676</c:v>
                </c:pt>
                <c:pt idx="21">
                  <c:v>0.75447579431077649</c:v>
                </c:pt>
                <c:pt idx="22">
                  <c:v>0.76980141734555207</c:v>
                </c:pt>
                <c:pt idx="23">
                  <c:v>0.78434716732994669</c:v>
                </c:pt>
                <c:pt idx="24">
                  <c:v>0.79816268851763972</c:v>
                </c:pt>
                <c:pt idx="25">
                  <c:v>0.8112934714957416</c:v>
                </c:pt>
                <c:pt idx="26">
                  <c:v>0.8237813155752528</c:v>
                </c:pt>
                <c:pt idx="27">
                  <c:v>0.83566472474255948</c:v>
                </c:pt>
                <c:pt idx="28">
                  <c:v>0.84697924891195164</c:v>
                </c:pt>
                <c:pt idx="29">
                  <c:v>0.85775777977740109</c:v>
                </c:pt>
                <c:pt idx="30">
                  <c:v>0.8680308086985199</c:v>
                </c:pt>
                <c:pt idx="31">
                  <c:v>0.87782665261834436</c:v>
                </c:pt>
                <c:pt idx="32">
                  <c:v>0.88717165289077171</c:v>
                </c:pt>
                <c:pt idx="33">
                  <c:v>0.89609035101489964</c:v>
                </c:pt>
                <c:pt idx="34">
                  <c:v>0.90460564457506332</c:v>
                </c:pt>
                <c:pt idx="35">
                  <c:v>0.91273892612692087</c:v>
                </c:pt>
                <c:pt idx="36">
                  <c:v>0.92051020732004463</c:v>
                </c:pt>
                <c:pt idx="37">
                  <c:v>0.92793823018248711</c:v>
                </c:pt>
                <c:pt idx="38">
                  <c:v>0.9350405671947476</c:v>
                </c:pt>
                <c:pt idx="39">
                  <c:v>0.94183371153561313</c:v>
                </c:pt>
                <c:pt idx="40">
                  <c:v>0.9483331586799314</c:v>
                </c:pt>
                <c:pt idx="41">
                  <c:v>0.95455348036010379</c:v>
                </c:pt>
                <c:pt idx="42">
                  <c:v>0.96050839176252467</c:v>
                </c:pt>
                <c:pt idx="43">
                  <c:v>0.96621081271218801</c:v>
                </c:pt>
                <c:pt idx="44">
                  <c:v>0.97167292349911494</c:v>
                </c:pt>
                <c:pt idx="45">
                  <c:v>0.97690621591594062</c:v>
                </c:pt>
                <c:pt idx="46">
                  <c:v>0.98192154000421705</c:v>
                </c:pt>
                <c:pt idx="47">
                  <c:v>0.98672914694571212</c:v>
                </c:pt>
                <c:pt idx="48">
                  <c:v>0.99133872848240556</c:v>
                </c:pt>
                <c:pt idx="49">
                  <c:v>0.99575945320366344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14720"/>
        <c:axId val="145616896"/>
      </c:scatterChart>
      <c:valAx>
        <c:axId val="145614720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Nautical miles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616896"/>
        <c:crosses val="autoZero"/>
        <c:crossBetween val="midCat"/>
      </c:valAx>
      <c:valAx>
        <c:axId val="1456168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6147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Cruise</a:t>
            </a:r>
            <a:r>
              <a:rPr lang="en-US" baseline="0"/>
              <a:t> speed </a:t>
            </a:r>
            <a:r>
              <a:rPr lang="en-US"/>
              <a:t>value function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'Cruise speed'!$A$2:$A$12</c:f>
              <c:numCache>
                <c:formatCode>General</c:formatCode>
                <c:ptCount val="11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262.5</c:v>
                </c:pt>
                <c:pt idx="8">
                  <c:v>275</c:v>
                </c:pt>
                <c:pt idx="9">
                  <c:v>287.5</c:v>
                </c:pt>
                <c:pt idx="10">
                  <c:v>300</c:v>
                </c:pt>
              </c:numCache>
            </c:numRef>
          </c:xVal>
          <c:yVal>
            <c:numRef>
              <c:f>'Cruise speed'!$B$2:$B$12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'Cruise speed'!$S$4:$S$105</c:f>
              <c:numCache>
                <c:formatCode>General</c:formatCode>
                <c:ptCount val="102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  <c:pt idx="21">
                  <c:v>155</c:v>
                </c:pt>
                <c:pt idx="22">
                  <c:v>160</c:v>
                </c:pt>
                <c:pt idx="23">
                  <c:v>165</c:v>
                </c:pt>
                <c:pt idx="24">
                  <c:v>170</c:v>
                </c:pt>
                <c:pt idx="25">
                  <c:v>175</c:v>
                </c:pt>
                <c:pt idx="26">
                  <c:v>180</c:v>
                </c:pt>
                <c:pt idx="27">
                  <c:v>185</c:v>
                </c:pt>
                <c:pt idx="28">
                  <c:v>190</c:v>
                </c:pt>
                <c:pt idx="29">
                  <c:v>195</c:v>
                </c:pt>
                <c:pt idx="30">
                  <c:v>200</c:v>
                </c:pt>
                <c:pt idx="31">
                  <c:v>205</c:v>
                </c:pt>
                <c:pt idx="32">
                  <c:v>210</c:v>
                </c:pt>
                <c:pt idx="33">
                  <c:v>215</c:v>
                </c:pt>
                <c:pt idx="34">
                  <c:v>220</c:v>
                </c:pt>
                <c:pt idx="35">
                  <c:v>225</c:v>
                </c:pt>
                <c:pt idx="36">
                  <c:v>230</c:v>
                </c:pt>
                <c:pt idx="37">
                  <c:v>235</c:v>
                </c:pt>
                <c:pt idx="38">
                  <c:v>240</c:v>
                </c:pt>
                <c:pt idx="39">
                  <c:v>245</c:v>
                </c:pt>
                <c:pt idx="40">
                  <c:v>250</c:v>
                </c:pt>
                <c:pt idx="41">
                  <c:v>255</c:v>
                </c:pt>
                <c:pt idx="42">
                  <c:v>260</c:v>
                </c:pt>
                <c:pt idx="43">
                  <c:v>265</c:v>
                </c:pt>
                <c:pt idx="44">
                  <c:v>270</c:v>
                </c:pt>
                <c:pt idx="45">
                  <c:v>275</c:v>
                </c:pt>
                <c:pt idx="46">
                  <c:v>280</c:v>
                </c:pt>
                <c:pt idx="47">
                  <c:v>285</c:v>
                </c:pt>
                <c:pt idx="48">
                  <c:v>290</c:v>
                </c:pt>
                <c:pt idx="49">
                  <c:v>295</c:v>
                </c:pt>
                <c:pt idx="50">
                  <c:v>300</c:v>
                </c:pt>
                <c:pt idx="51">
                  <c:v>305</c:v>
                </c:pt>
                <c:pt idx="52">
                  <c:v>310</c:v>
                </c:pt>
                <c:pt idx="53">
                  <c:v>315</c:v>
                </c:pt>
                <c:pt idx="54">
                  <c:v>320</c:v>
                </c:pt>
                <c:pt idx="55">
                  <c:v>325</c:v>
                </c:pt>
                <c:pt idx="56">
                  <c:v>330</c:v>
                </c:pt>
                <c:pt idx="57">
                  <c:v>335</c:v>
                </c:pt>
                <c:pt idx="58">
                  <c:v>340</c:v>
                </c:pt>
                <c:pt idx="59">
                  <c:v>345</c:v>
                </c:pt>
                <c:pt idx="60">
                  <c:v>350</c:v>
                </c:pt>
                <c:pt idx="61">
                  <c:v>355</c:v>
                </c:pt>
                <c:pt idx="62">
                  <c:v>360</c:v>
                </c:pt>
                <c:pt idx="63">
                  <c:v>365</c:v>
                </c:pt>
                <c:pt idx="64">
                  <c:v>370</c:v>
                </c:pt>
                <c:pt idx="65">
                  <c:v>375</c:v>
                </c:pt>
                <c:pt idx="66">
                  <c:v>380</c:v>
                </c:pt>
                <c:pt idx="67">
                  <c:v>385</c:v>
                </c:pt>
                <c:pt idx="68">
                  <c:v>390</c:v>
                </c:pt>
                <c:pt idx="69">
                  <c:v>395</c:v>
                </c:pt>
                <c:pt idx="70">
                  <c:v>400</c:v>
                </c:pt>
                <c:pt idx="71">
                  <c:v>405</c:v>
                </c:pt>
                <c:pt idx="72">
                  <c:v>410</c:v>
                </c:pt>
                <c:pt idx="73">
                  <c:v>415</c:v>
                </c:pt>
                <c:pt idx="74">
                  <c:v>420</c:v>
                </c:pt>
                <c:pt idx="75">
                  <c:v>425</c:v>
                </c:pt>
                <c:pt idx="76">
                  <c:v>430</c:v>
                </c:pt>
                <c:pt idx="77">
                  <c:v>435</c:v>
                </c:pt>
                <c:pt idx="78">
                  <c:v>440</c:v>
                </c:pt>
                <c:pt idx="79">
                  <c:v>445</c:v>
                </c:pt>
                <c:pt idx="80">
                  <c:v>450</c:v>
                </c:pt>
                <c:pt idx="81">
                  <c:v>455</c:v>
                </c:pt>
                <c:pt idx="82">
                  <c:v>460</c:v>
                </c:pt>
                <c:pt idx="83">
                  <c:v>465</c:v>
                </c:pt>
                <c:pt idx="84">
                  <c:v>470</c:v>
                </c:pt>
                <c:pt idx="85">
                  <c:v>475</c:v>
                </c:pt>
                <c:pt idx="86">
                  <c:v>480</c:v>
                </c:pt>
                <c:pt idx="87">
                  <c:v>485</c:v>
                </c:pt>
                <c:pt idx="88">
                  <c:v>490</c:v>
                </c:pt>
                <c:pt idx="89">
                  <c:v>495</c:v>
                </c:pt>
                <c:pt idx="90">
                  <c:v>500</c:v>
                </c:pt>
                <c:pt idx="91">
                  <c:v>505</c:v>
                </c:pt>
                <c:pt idx="92">
                  <c:v>510</c:v>
                </c:pt>
                <c:pt idx="93">
                  <c:v>515</c:v>
                </c:pt>
                <c:pt idx="94">
                  <c:v>520</c:v>
                </c:pt>
                <c:pt idx="95">
                  <c:v>525</c:v>
                </c:pt>
                <c:pt idx="96">
                  <c:v>530</c:v>
                </c:pt>
                <c:pt idx="97">
                  <c:v>535</c:v>
                </c:pt>
                <c:pt idx="98">
                  <c:v>540</c:v>
                </c:pt>
                <c:pt idx="99">
                  <c:v>545</c:v>
                </c:pt>
                <c:pt idx="100">
                  <c:v>550</c:v>
                </c:pt>
                <c:pt idx="101">
                  <c:v>555</c:v>
                </c:pt>
              </c:numCache>
            </c:numRef>
          </c:xVal>
          <c:yVal>
            <c:numRef>
              <c:f>'Cruise speed'!$T$4:$T$105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2.0000024479116026E-2</c:v>
                </c:pt>
                <c:pt idx="2">
                  <c:v>4.000004798123457E-2</c:v>
                </c:pt>
                <c:pt idx="3">
                  <c:v>6.0000070506355627E-2</c:v>
                </c:pt>
                <c:pt idx="4">
                  <c:v>8.0000092010070231E-2</c:v>
                </c:pt>
                <c:pt idx="5">
                  <c:v>0.10000011249237836</c:v>
                </c:pt>
                <c:pt idx="6">
                  <c:v>0.12000013199768902</c:v>
                </c:pt>
                <c:pt idx="7">
                  <c:v>0.14000015048159323</c:v>
                </c:pt>
                <c:pt idx="8">
                  <c:v>0.16000016798849995</c:v>
                </c:pt>
                <c:pt idx="9">
                  <c:v>0.18000018451840918</c:v>
                </c:pt>
                <c:pt idx="10">
                  <c:v>0.20000019998250296</c:v>
                </c:pt>
                <c:pt idx="11">
                  <c:v>0.22000021451400825</c:v>
                </c:pt>
                <c:pt idx="12">
                  <c:v>0.24000022802410709</c:v>
                </c:pt>
                <c:pt idx="13">
                  <c:v>0.26000024051279946</c:v>
                </c:pt>
                <c:pt idx="14">
                  <c:v>0.28000025202449436</c:v>
                </c:pt>
                <c:pt idx="15">
                  <c:v>0.30000026251478279</c:v>
                </c:pt>
                <c:pt idx="16">
                  <c:v>0.32000027198366476</c:v>
                </c:pt>
                <c:pt idx="17">
                  <c:v>0.34000028051995823</c:v>
                </c:pt>
                <c:pt idx="18">
                  <c:v>0.36000028799043621</c:v>
                </c:pt>
                <c:pt idx="19">
                  <c:v>0.38000029452832573</c:v>
                </c:pt>
                <c:pt idx="20">
                  <c:v>0.40000030000039982</c:v>
                </c:pt>
                <c:pt idx="21">
                  <c:v>0.42000030449547643</c:v>
                </c:pt>
                <c:pt idx="22">
                  <c:v>0.44000030801355555</c:v>
                </c:pt>
                <c:pt idx="23">
                  <c:v>0.46000031051022822</c:v>
                </c:pt>
                <c:pt idx="24">
                  <c:v>0.4800003120299034</c:v>
                </c:pt>
                <c:pt idx="25">
                  <c:v>0.50000031252817212</c:v>
                </c:pt>
                <c:pt idx="26">
                  <c:v>0.52000031200503438</c:v>
                </c:pt>
                <c:pt idx="27">
                  <c:v>0.54000031050489916</c:v>
                </c:pt>
                <c:pt idx="28">
                  <c:v>0.56000030802776646</c:v>
                </c:pt>
                <c:pt idx="29">
                  <c:v>0.58000030452922724</c:v>
                </c:pt>
                <c:pt idx="30">
                  <c:v>0.60000030000928162</c:v>
                </c:pt>
                <c:pt idx="31">
                  <c:v>0.62000029451233851</c:v>
                </c:pt>
                <c:pt idx="32">
                  <c:v>0.640000287993989</c:v>
                </c:pt>
                <c:pt idx="33">
                  <c:v>0.6600002804986419</c:v>
                </c:pt>
                <c:pt idx="34">
                  <c:v>0.68000027202629743</c:v>
                </c:pt>
                <c:pt idx="35">
                  <c:v>0.70000026253254632</c:v>
                </c:pt>
                <c:pt idx="36">
                  <c:v>0.72000025201738893</c:v>
                </c:pt>
                <c:pt idx="37">
                  <c:v>0.74000024052523394</c:v>
                </c:pt>
                <c:pt idx="38">
                  <c:v>0.76000022801167255</c:v>
                </c:pt>
                <c:pt idx="39">
                  <c:v>0.78000021452111368</c:v>
                </c:pt>
                <c:pt idx="40">
                  <c:v>0.8000002000091484</c:v>
                </c:pt>
                <c:pt idx="41">
                  <c:v>0.82000018452018553</c:v>
                </c:pt>
                <c:pt idx="42">
                  <c:v>0.84000016800981625</c:v>
                </c:pt>
                <c:pt idx="43">
                  <c:v>0.86000015052244949</c:v>
                </c:pt>
                <c:pt idx="44">
                  <c:v>0.88000013201367633</c:v>
                </c:pt>
                <c:pt idx="45">
                  <c:v>0.90000011252790557</c:v>
                </c:pt>
                <c:pt idx="46">
                  <c:v>0.92000009202072841</c:v>
                </c:pt>
                <c:pt idx="47">
                  <c:v>0.94000007053655377</c:v>
                </c:pt>
                <c:pt idx="48">
                  <c:v>0.96000004803097261</c:v>
                </c:pt>
                <c:pt idx="49">
                  <c:v>0.98000002450398505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78208"/>
        <c:axId val="146480128"/>
      </c:scatterChart>
      <c:valAx>
        <c:axId val="146478208"/>
        <c:scaling>
          <c:orientation val="minMax"/>
          <c:max val="3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Knots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480128"/>
        <c:crosses val="autoZero"/>
        <c:crossBetween val="midCat"/>
      </c:valAx>
      <c:valAx>
        <c:axId val="1464801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4782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Observability value function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Observability!$A$2:$A$12</c:f>
              <c:numCache>
                <c:formatCode>General</c:formatCode>
                <c:ptCount val="11"/>
                <c:pt idx="0">
                  <c:v>0.16500000000000001</c:v>
                </c:pt>
                <c:pt idx="1">
                  <c:v>0.13500000000000001</c:v>
                </c:pt>
                <c:pt idx="2">
                  <c:v>0.105</c:v>
                </c:pt>
                <c:pt idx="3">
                  <c:v>0.09</c:v>
                </c:pt>
                <c:pt idx="4">
                  <c:v>7.4999999999999997E-2</c:v>
                </c:pt>
                <c:pt idx="5">
                  <c:v>0.06</c:v>
                </c:pt>
                <c:pt idx="6">
                  <c:v>4.4999999999999984E-2</c:v>
                </c:pt>
                <c:pt idx="7">
                  <c:v>3.7500000000000006E-2</c:v>
                </c:pt>
                <c:pt idx="8">
                  <c:v>2.9999999999999971E-2</c:v>
                </c:pt>
                <c:pt idx="9">
                  <c:v>2.2499999999999992E-2</c:v>
                </c:pt>
                <c:pt idx="10">
                  <c:v>1.4999999999999999E-2</c:v>
                </c:pt>
              </c:numCache>
            </c:numRef>
          </c:xVal>
          <c:yVal>
            <c:numRef>
              <c:f>Observability!$B$2:$B$12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Observability!$S$4:$S$105</c:f>
              <c:numCache>
                <c:formatCode>General</c:formatCode>
                <c:ptCount val="102"/>
                <c:pt idx="0">
                  <c:v>1.4999999999999999E-2</c:v>
                </c:pt>
                <c:pt idx="1">
                  <c:v>1.7999999999999999E-2</c:v>
                </c:pt>
                <c:pt idx="2">
                  <c:v>2.0999999999999998E-2</c:v>
                </c:pt>
                <c:pt idx="3">
                  <c:v>2.3999999999999997E-2</c:v>
                </c:pt>
                <c:pt idx="4">
                  <c:v>2.6999999999999996E-2</c:v>
                </c:pt>
                <c:pt idx="5">
                  <c:v>2.9999999999999995E-2</c:v>
                </c:pt>
                <c:pt idx="6">
                  <c:v>3.2999999999999995E-2</c:v>
                </c:pt>
                <c:pt idx="7">
                  <c:v>3.5999999999999997E-2</c:v>
                </c:pt>
                <c:pt idx="8">
                  <c:v>3.9E-2</c:v>
                </c:pt>
                <c:pt idx="9">
                  <c:v>4.2000000000000003E-2</c:v>
                </c:pt>
                <c:pt idx="10">
                  <c:v>4.5000000000000005E-2</c:v>
                </c:pt>
                <c:pt idx="11">
                  <c:v>4.8000000000000008E-2</c:v>
                </c:pt>
                <c:pt idx="12">
                  <c:v>5.1000000000000011E-2</c:v>
                </c:pt>
                <c:pt idx="13">
                  <c:v>5.4000000000000013E-2</c:v>
                </c:pt>
                <c:pt idx="14">
                  <c:v>5.7000000000000016E-2</c:v>
                </c:pt>
                <c:pt idx="15">
                  <c:v>6.0000000000000019E-2</c:v>
                </c:pt>
                <c:pt idx="16">
                  <c:v>6.3000000000000014E-2</c:v>
                </c:pt>
                <c:pt idx="17">
                  <c:v>6.6000000000000017E-2</c:v>
                </c:pt>
                <c:pt idx="18">
                  <c:v>6.900000000000002E-2</c:v>
                </c:pt>
                <c:pt idx="19">
                  <c:v>7.2000000000000022E-2</c:v>
                </c:pt>
                <c:pt idx="20">
                  <c:v>7.5000000000000025E-2</c:v>
                </c:pt>
                <c:pt idx="21">
                  <c:v>7.8000000000000028E-2</c:v>
                </c:pt>
                <c:pt idx="22">
                  <c:v>8.100000000000003E-2</c:v>
                </c:pt>
                <c:pt idx="23">
                  <c:v>8.4000000000000033E-2</c:v>
                </c:pt>
                <c:pt idx="24">
                  <c:v>8.7000000000000036E-2</c:v>
                </c:pt>
                <c:pt idx="25">
                  <c:v>9.0000000000000038E-2</c:v>
                </c:pt>
                <c:pt idx="26">
                  <c:v>9.3000000000000041E-2</c:v>
                </c:pt>
                <c:pt idx="27">
                  <c:v>9.6000000000000044E-2</c:v>
                </c:pt>
                <c:pt idx="28">
                  <c:v>9.9000000000000046E-2</c:v>
                </c:pt>
                <c:pt idx="29">
                  <c:v>0.10200000000000005</c:v>
                </c:pt>
                <c:pt idx="30">
                  <c:v>0.10500000000000005</c:v>
                </c:pt>
                <c:pt idx="31">
                  <c:v>0.10800000000000005</c:v>
                </c:pt>
                <c:pt idx="32">
                  <c:v>0.11100000000000006</c:v>
                </c:pt>
                <c:pt idx="33">
                  <c:v>0.11400000000000006</c:v>
                </c:pt>
                <c:pt idx="34">
                  <c:v>0.11700000000000006</c:v>
                </c:pt>
                <c:pt idx="35">
                  <c:v>0.12000000000000006</c:v>
                </c:pt>
                <c:pt idx="36">
                  <c:v>0.12300000000000007</c:v>
                </c:pt>
                <c:pt idx="37">
                  <c:v>0.12600000000000006</c:v>
                </c:pt>
                <c:pt idx="38">
                  <c:v>0.12900000000000006</c:v>
                </c:pt>
                <c:pt idx="39">
                  <c:v>0.13200000000000006</c:v>
                </c:pt>
                <c:pt idx="40">
                  <c:v>0.13500000000000006</c:v>
                </c:pt>
                <c:pt idx="41">
                  <c:v>0.13800000000000007</c:v>
                </c:pt>
                <c:pt idx="42">
                  <c:v>0.14100000000000007</c:v>
                </c:pt>
                <c:pt idx="43">
                  <c:v>0.14400000000000007</c:v>
                </c:pt>
                <c:pt idx="44">
                  <c:v>0.14700000000000008</c:v>
                </c:pt>
                <c:pt idx="45">
                  <c:v>0.15000000000000008</c:v>
                </c:pt>
                <c:pt idx="46">
                  <c:v>0.15300000000000008</c:v>
                </c:pt>
                <c:pt idx="47">
                  <c:v>0.15600000000000008</c:v>
                </c:pt>
                <c:pt idx="48">
                  <c:v>0.15900000000000009</c:v>
                </c:pt>
                <c:pt idx="49">
                  <c:v>0.16200000000000009</c:v>
                </c:pt>
                <c:pt idx="50">
                  <c:v>0.16500000000000009</c:v>
                </c:pt>
                <c:pt idx="51">
                  <c:v>0.16800000000000009</c:v>
                </c:pt>
                <c:pt idx="52">
                  <c:v>0.1710000000000001</c:v>
                </c:pt>
                <c:pt idx="53">
                  <c:v>0.1740000000000001</c:v>
                </c:pt>
                <c:pt idx="54">
                  <c:v>0.1770000000000001</c:v>
                </c:pt>
                <c:pt idx="55">
                  <c:v>0.1800000000000001</c:v>
                </c:pt>
                <c:pt idx="56">
                  <c:v>0.18300000000000011</c:v>
                </c:pt>
                <c:pt idx="57">
                  <c:v>0.18600000000000011</c:v>
                </c:pt>
                <c:pt idx="58">
                  <c:v>0.18900000000000011</c:v>
                </c:pt>
                <c:pt idx="59">
                  <c:v>0.19200000000000012</c:v>
                </c:pt>
                <c:pt idx="60">
                  <c:v>0.19500000000000012</c:v>
                </c:pt>
                <c:pt idx="61">
                  <c:v>0.19800000000000012</c:v>
                </c:pt>
                <c:pt idx="62">
                  <c:v>0.20100000000000012</c:v>
                </c:pt>
                <c:pt idx="63">
                  <c:v>0.20400000000000013</c:v>
                </c:pt>
                <c:pt idx="64">
                  <c:v>0.20700000000000013</c:v>
                </c:pt>
                <c:pt idx="65">
                  <c:v>0.21000000000000013</c:v>
                </c:pt>
                <c:pt idx="66">
                  <c:v>0.21300000000000013</c:v>
                </c:pt>
                <c:pt idx="67">
                  <c:v>0.21600000000000014</c:v>
                </c:pt>
                <c:pt idx="68">
                  <c:v>0.21900000000000014</c:v>
                </c:pt>
                <c:pt idx="69">
                  <c:v>0.22200000000000014</c:v>
                </c:pt>
                <c:pt idx="70">
                  <c:v>0.22500000000000014</c:v>
                </c:pt>
                <c:pt idx="71">
                  <c:v>0.22800000000000015</c:v>
                </c:pt>
                <c:pt idx="72">
                  <c:v>0.23100000000000015</c:v>
                </c:pt>
                <c:pt idx="73">
                  <c:v>0.23400000000000015</c:v>
                </c:pt>
                <c:pt idx="74">
                  <c:v>0.23700000000000015</c:v>
                </c:pt>
                <c:pt idx="75">
                  <c:v>0.24000000000000016</c:v>
                </c:pt>
                <c:pt idx="76">
                  <c:v>0.24300000000000016</c:v>
                </c:pt>
                <c:pt idx="77">
                  <c:v>0.24600000000000016</c:v>
                </c:pt>
                <c:pt idx="78">
                  <c:v>0.24900000000000017</c:v>
                </c:pt>
                <c:pt idx="79">
                  <c:v>0.25200000000000017</c:v>
                </c:pt>
                <c:pt idx="80">
                  <c:v>0.25500000000000017</c:v>
                </c:pt>
                <c:pt idx="81">
                  <c:v>0.25800000000000017</c:v>
                </c:pt>
                <c:pt idx="82">
                  <c:v>0.26100000000000018</c:v>
                </c:pt>
                <c:pt idx="83">
                  <c:v>0.26400000000000018</c:v>
                </c:pt>
                <c:pt idx="84">
                  <c:v>0.26700000000000018</c:v>
                </c:pt>
                <c:pt idx="85">
                  <c:v>0.27000000000000018</c:v>
                </c:pt>
                <c:pt idx="86">
                  <c:v>0.27300000000000019</c:v>
                </c:pt>
                <c:pt idx="87">
                  <c:v>0.27600000000000019</c:v>
                </c:pt>
                <c:pt idx="88">
                  <c:v>0.27900000000000019</c:v>
                </c:pt>
                <c:pt idx="89">
                  <c:v>0.28200000000000019</c:v>
                </c:pt>
                <c:pt idx="90">
                  <c:v>0.2850000000000002</c:v>
                </c:pt>
                <c:pt idx="91">
                  <c:v>0.2880000000000002</c:v>
                </c:pt>
                <c:pt idx="92">
                  <c:v>0.2910000000000002</c:v>
                </c:pt>
                <c:pt idx="93">
                  <c:v>0.29400000000000021</c:v>
                </c:pt>
                <c:pt idx="94">
                  <c:v>0.29700000000000021</c:v>
                </c:pt>
                <c:pt idx="95">
                  <c:v>0.30000000000000021</c:v>
                </c:pt>
                <c:pt idx="96">
                  <c:v>0.30300000000000021</c:v>
                </c:pt>
                <c:pt idx="97">
                  <c:v>0.30600000000000022</c:v>
                </c:pt>
                <c:pt idx="98">
                  <c:v>0.30900000000000022</c:v>
                </c:pt>
                <c:pt idx="99">
                  <c:v>0.31200000000000022</c:v>
                </c:pt>
                <c:pt idx="100">
                  <c:v>0.31500000000000022</c:v>
                </c:pt>
                <c:pt idx="101">
                  <c:v>0.31800000000000023</c:v>
                </c:pt>
              </c:numCache>
            </c:numRef>
          </c:xVal>
          <c:yVal>
            <c:numRef>
              <c:f>Observability!$T$4:$T$105</c:f>
              <c:numCache>
                <c:formatCode>General</c:formatCode>
                <c:ptCount val="102"/>
                <c:pt idx="0">
                  <c:v>1</c:v>
                </c:pt>
                <c:pt idx="1">
                  <c:v>0.9799999970394051</c:v>
                </c:pt>
                <c:pt idx="2">
                  <c:v>0.9599999940788102</c:v>
                </c:pt>
                <c:pt idx="3">
                  <c:v>0.93999999111821531</c:v>
                </c:pt>
                <c:pt idx="4">
                  <c:v>0.91999998815762041</c:v>
                </c:pt>
                <c:pt idx="5">
                  <c:v>0.90000013322677175</c:v>
                </c:pt>
                <c:pt idx="6">
                  <c:v>0.88000013026617674</c:v>
                </c:pt>
                <c:pt idx="7">
                  <c:v>0.86000012730558184</c:v>
                </c:pt>
                <c:pt idx="8">
                  <c:v>0.84000012434498694</c:v>
                </c:pt>
                <c:pt idx="9">
                  <c:v>0.82000012138439204</c:v>
                </c:pt>
                <c:pt idx="10">
                  <c:v>0.80000011842379704</c:v>
                </c:pt>
                <c:pt idx="11">
                  <c:v>0.78000011546320214</c:v>
                </c:pt>
                <c:pt idx="12">
                  <c:v>0.76000011250260724</c:v>
                </c:pt>
                <c:pt idx="13">
                  <c:v>0.74000010954201234</c:v>
                </c:pt>
                <c:pt idx="14">
                  <c:v>0.72000010658141733</c:v>
                </c:pt>
                <c:pt idx="15">
                  <c:v>0.70000010362082243</c:v>
                </c:pt>
                <c:pt idx="16">
                  <c:v>0.68000010066022754</c:v>
                </c:pt>
                <c:pt idx="17">
                  <c:v>0.66000009769963264</c:v>
                </c:pt>
                <c:pt idx="18">
                  <c:v>0.64000009473903763</c:v>
                </c:pt>
                <c:pt idx="19">
                  <c:v>0.62000009177844273</c:v>
                </c:pt>
                <c:pt idx="20">
                  <c:v>0.60000008881784783</c:v>
                </c:pt>
                <c:pt idx="21">
                  <c:v>0.58000008585725282</c:v>
                </c:pt>
                <c:pt idx="22">
                  <c:v>0.56000008289665792</c:v>
                </c:pt>
                <c:pt idx="23">
                  <c:v>0.54000007993606303</c:v>
                </c:pt>
                <c:pt idx="24">
                  <c:v>0.52000007697546813</c:v>
                </c:pt>
                <c:pt idx="25">
                  <c:v>0.50000007401487312</c:v>
                </c:pt>
                <c:pt idx="26">
                  <c:v>0.48000007105427822</c:v>
                </c:pt>
                <c:pt idx="27">
                  <c:v>0.46000006809368332</c:v>
                </c:pt>
                <c:pt idx="28">
                  <c:v>0.44000006513308837</c:v>
                </c:pt>
                <c:pt idx="29">
                  <c:v>0.42000006217249347</c:v>
                </c:pt>
                <c:pt idx="30">
                  <c:v>0.40000005921189852</c:v>
                </c:pt>
                <c:pt idx="31">
                  <c:v>0.38000005625130362</c:v>
                </c:pt>
                <c:pt idx="32">
                  <c:v>0.36000005329070867</c:v>
                </c:pt>
                <c:pt idx="33">
                  <c:v>0.34000005033011377</c:v>
                </c:pt>
                <c:pt idx="34">
                  <c:v>0.32000004736951881</c:v>
                </c:pt>
                <c:pt idx="35">
                  <c:v>0.30000004440892392</c:v>
                </c:pt>
                <c:pt idx="36">
                  <c:v>0.28000004144832896</c:v>
                </c:pt>
                <c:pt idx="37">
                  <c:v>0.26000003848773406</c:v>
                </c:pt>
                <c:pt idx="38">
                  <c:v>0.24000003552713911</c:v>
                </c:pt>
                <c:pt idx="39">
                  <c:v>0.22000003256654418</c:v>
                </c:pt>
                <c:pt idx="40">
                  <c:v>0.20000002960594926</c:v>
                </c:pt>
                <c:pt idx="41">
                  <c:v>0.18000002664535433</c:v>
                </c:pt>
                <c:pt idx="42">
                  <c:v>0.16000002368475941</c:v>
                </c:pt>
                <c:pt idx="43">
                  <c:v>0.14000002072416448</c:v>
                </c:pt>
                <c:pt idx="44">
                  <c:v>0.12000001776356956</c:v>
                </c:pt>
                <c:pt idx="45">
                  <c:v>0.10000001480297463</c:v>
                </c:pt>
                <c:pt idx="46">
                  <c:v>8.0000011842379704E-2</c:v>
                </c:pt>
                <c:pt idx="47">
                  <c:v>6.0000008881784778E-2</c:v>
                </c:pt>
                <c:pt idx="48">
                  <c:v>4.0000005921189852E-2</c:v>
                </c:pt>
                <c:pt idx="49">
                  <c:v>2.0000002960594926E-2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500608"/>
        <c:axId val="146523264"/>
      </c:scatterChart>
      <c:valAx>
        <c:axId val="146500608"/>
        <c:scaling>
          <c:orientation val="minMax"/>
          <c:max val="0.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Field of view (degrees)</a:t>
                </a:r>
              </a:p>
            </c:rich>
          </c:tx>
          <c:layout>
            <c:manualLayout>
              <c:xMode val="edge"/>
              <c:yMode val="edge"/>
              <c:x val="0.36863299327403082"/>
              <c:y val="0.91161759219598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523264"/>
        <c:crosses val="autoZero"/>
        <c:crossBetween val="midCat"/>
      </c:valAx>
      <c:valAx>
        <c:axId val="1465232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500608"/>
        <c:crossesAt val="-3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Stealth value function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Stealth!$A$2:$A$3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Stealth!$B$2:$B$3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45216"/>
        <c:axId val="146747392"/>
      </c:lineChart>
      <c:catAx>
        <c:axId val="14674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Stealth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46747392"/>
        <c:crosses val="autoZero"/>
        <c:auto val="0"/>
        <c:lblAlgn val="ctr"/>
        <c:lblOffset val="100"/>
        <c:noMultiLvlLbl val="0"/>
      </c:catAx>
      <c:valAx>
        <c:axId val="14674739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745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Technology maturity level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'Technology maturity'!$A$2:$A$12</c:f>
              <c:numCache>
                <c:formatCode>General</c:formatCode>
                <c:ptCount val="11"/>
                <c:pt idx="0">
                  <c:v>-3</c:v>
                </c:pt>
                <c:pt idx="1">
                  <c:v>-1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</c:numCache>
            </c:numRef>
          </c:xVal>
          <c:yVal>
            <c:numRef>
              <c:f>'Technology maturity'!$B$2:$B$12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'Technology maturity'!$S$4:$S$105</c:f>
              <c:numCache>
                <c:formatCode>General</c:formatCode>
                <c:ptCount val="102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3.8857805861880479E-16</c:v>
                </c:pt>
                <c:pt idx="16">
                  <c:v>0.2000000000000004</c:v>
                </c:pt>
                <c:pt idx="17">
                  <c:v>0.40000000000000041</c:v>
                </c:pt>
                <c:pt idx="18">
                  <c:v>0.60000000000000042</c:v>
                </c:pt>
                <c:pt idx="19">
                  <c:v>0.80000000000000049</c:v>
                </c:pt>
                <c:pt idx="20">
                  <c:v>1.0000000000000004</c:v>
                </c:pt>
                <c:pt idx="21">
                  <c:v>1.2000000000000004</c:v>
                </c:pt>
                <c:pt idx="22">
                  <c:v>1.4000000000000004</c:v>
                </c:pt>
                <c:pt idx="23">
                  <c:v>1.6000000000000003</c:v>
                </c:pt>
                <c:pt idx="24">
                  <c:v>1.8000000000000003</c:v>
                </c:pt>
                <c:pt idx="25">
                  <c:v>2.0000000000000004</c:v>
                </c:pt>
                <c:pt idx="26">
                  <c:v>2.2000000000000006</c:v>
                </c:pt>
                <c:pt idx="27">
                  <c:v>2.4000000000000008</c:v>
                </c:pt>
                <c:pt idx="28">
                  <c:v>2.600000000000001</c:v>
                </c:pt>
                <c:pt idx="29">
                  <c:v>2.8000000000000012</c:v>
                </c:pt>
                <c:pt idx="30">
                  <c:v>3.0000000000000013</c:v>
                </c:pt>
                <c:pt idx="31">
                  <c:v>3.2000000000000015</c:v>
                </c:pt>
                <c:pt idx="32">
                  <c:v>3.4000000000000017</c:v>
                </c:pt>
                <c:pt idx="33">
                  <c:v>3.6000000000000019</c:v>
                </c:pt>
                <c:pt idx="34">
                  <c:v>3.800000000000002</c:v>
                </c:pt>
                <c:pt idx="35">
                  <c:v>4.0000000000000018</c:v>
                </c:pt>
                <c:pt idx="36">
                  <c:v>4.200000000000002</c:v>
                </c:pt>
                <c:pt idx="37">
                  <c:v>4.4000000000000021</c:v>
                </c:pt>
                <c:pt idx="38">
                  <c:v>4.6000000000000023</c:v>
                </c:pt>
                <c:pt idx="39">
                  <c:v>4.8000000000000025</c:v>
                </c:pt>
                <c:pt idx="40">
                  <c:v>5.0000000000000027</c:v>
                </c:pt>
                <c:pt idx="41">
                  <c:v>5.2000000000000028</c:v>
                </c:pt>
                <c:pt idx="42">
                  <c:v>5.400000000000003</c:v>
                </c:pt>
                <c:pt idx="43">
                  <c:v>5.6000000000000032</c:v>
                </c:pt>
                <c:pt idx="44">
                  <c:v>5.8000000000000034</c:v>
                </c:pt>
                <c:pt idx="45">
                  <c:v>6.0000000000000036</c:v>
                </c:pt>
                <c:pt idx="46">
                  <c:v>6.2000000000000037</c:v>
                </c:pt>
                <c:pt idx="47">
                  <c:v>6.4000000000000039</c:v>
                </c:pt>
                <c:pt idx="48">
                  <c:v>6.6000000000000041</c:v>
                </c:pt>
                <c:pt idx="49">
                  <c:v>6.8000000000000043</c:v>
                </c:pt>
                <c:pt idx="50">
                  <c:v>7.0000000000000044</c:v>
                </c:pt>
                <c:pt idx="51">
                  <c:v>7.2000000000000046</c:v>
                </c:pt>
                <c:pt idx="52">
                  <c:v>7.4000000000000048</c:v>
                </c:pt>
                <c:pt idx="53">
                  <c:v>7.600000000000005</c:v>
                </c:pt>
                <c:pt idx="54">
                  <c:v>7.8000000000000052</c:v>
                </c:pt>
                <c:pt idx="55">
                  <c:v>8.0000000000000053</c:v>
                </c:pt>
                <c:pt idx="56">
                  <c:v>8.2000000000000046</c:v>
                </c:pt>
                <c:pt idx="57">
                  <c:v>8.4000000000000039</c:v>
                </c:pt>
                <c:pt idx="58">
                  <c:v>8.6000000000000032</c:v>
                </c:pt>
                <c:pt idx="59">
                  <c:v>8.8000000000000025</c:v>
                </c:pt>
                <c:pt idx="60">
                  <c:v>9.0000000000000018</c:v>
                </c:pt>
                <c:pt idx="61">
                  <c:v>9.2000000000000011</c:v>
                </c:pt>
                <c:pt idx="62">
                  <c:v>9.4</c:v>
                </c:pt>
                <c:pt idx="63">
                  <c:v>9.6</c:v>
                </c:pt>
                <c:pt idx="64">
                  <c:v>9.7999999999999989</c:v>
                </c:pt>
                <c:pt idx="65">
                  <c:v>9.9999999999999982</c:v>
                </c:pt>
                <c:pt idx="66">
                  <c:v>10.199999999999998</c:v>
                </c:pt>
                <c:pt idx="67">
                  <c:v>10.399999999999997</c:v>
                </c:pt>
                <c:pt idx="68">
                  <c:v>10.599999999999996</c:v>
                </c:pt>
                <c:pt idx="69">
                  <c:v>10.799999999999995</c:v>
                </c:pt>
                <c:pt idx="70">
                  <c:v>10.999999999999995</c:v>
                </c:pt>
                <c:pt idx="71">
                  <c:v>11.199999999999994</c:v>
                </c:pt>
                <c:pt idx="72">
                  <c:v>11.399999999999993</c:v>
                </c:pt>
                <c:pt idx="73">
                  <c:v>11.599999999999993</c:v>
                </c:pt>
                <c:pt idx="74">
                  <c:v>11.799999999999992</c:v>
                </c:pt>
                <c:pt idx="75">
                  <c:v>11.999999999999991</c:v>
                </c:pt>
                <c:pt idx="76">
                  <c:v>12.19999999999999</c:v>
                </c:pt>
                <c:pt idx="77">
                  <c:v>12.39999999999999</c:v>
                </c:pt>
                <c:pt idx="78">
                  <c:v>12.599999999999989</c:v>
                </c:pt>
                <c:pt idx="79">
                  <c:v>12.799999999999988</c:v>
                </c:pt>
                <c:pt idx="80">
                  <c:v>12.999999999999988</c:v>
                </c:pt>
                <c:pt idx="81">
                  <c:v>13.199999999999987</c:v>
                </c:pt>
                <c:pt idx="82">
                  <c:v>13.399999999999986</c:v>
                </c:pt>
                <c:pt idx="83">
                  <c:v>13.599999999999985</c:v>
                </c:pt>
                <c:pt idx="84">
                  <c:v>13.799999999999985</c:v>
                </c:pt>
                <c:pt idx="85">
                  <c:v>13.999999999999984</c:v>
                </c:pt>
                <c:pt idx="86">
                  <c:v>14.199999999999983</c:v>
                </c:pt>
                <c:pt idx="87">
                  <c:v>14.399999999999983</c:v>
                </c:pt>
                <c:pt idx="88">
                  <c:v>14.599999999999982</c:v>
                </c:pt>
                <c:pt idx="89">
                  <c:v>14.799999999999981</c:v>
                </c:pt>
                <c:pt idx="90">
                  <c:v>14.99999999999998</c:v>
                </c:pt>
                <c:pt idx="91">
                  <c:v>15.19999999999998</c:v>
                </c:pt>
                <c:pt idx="92">
                  <c:v>15.399999999999979</c:v>
                </c:pt>
                <c:pt idx="93">
                  <c:v>15.599999999999978</c:v>
                </c:pt>
                <c:pt idx="94">
                  <c:v>15.799999999999978</c:v>
                </c:pt>
                <c:pt idx="95">
                  <c:v>15.999999999999977</c:v>
                </c:pt>
                <c:pt idx="96">
                  <c:v>16.199999999999978</c:v>
                </c:pt>
                <c:pt idx="97">
                  <c:v>16.399999999999977</c:v>
                </c:pt>
                <c:pt idx="98">
                  <c:v>16.599999999999977</c:v>
                </c:pt>
                <c:pt idx="99">
                  <c:v>16.799999999999976</c:v>
                </c:pt>
                <c:pt idx="100">
                  <c:v>16.999999999999975</c:v>
                </c:pt>
                <c:pt idx="101">
                  <c:v>17.199999999999974</c:v>
                </c:pt>
              </c:numCache>
            </c:numRef>
          </c:xVal>
          <c:yVal>
            <c:numRef>
              <c:f>'Technology maturity'!$T$4:$T$105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2.0000000444089235E-2</c:v>
                </c:pt>
                <c:pt idx="2">
                  <c:v>4.0000001998401549E-2</c:v>
                </c:pt>
                <c:pt idx="3">
                  <c:v>6.0000002442490784E-2</c:v>
                </c:pt>
                <c:pt idx="4">
                  <c:v>8.0000003996803098E-2</c:v>
                </c:pt>
                <c:pt idx="5">
                  <c:v>0.10000000444089233</c:v>
                </c:pt>
                <c:pt idx="6">
                  <c:v>0.12000000488498157</c:v>
                </c:pt>
                <c:pt idx="7">
                  <c:v>0.14000000643929389</c:v>
                </c:pt>
                <c:pt idx="8">
                  <c:v>0.16000000688338312</c:v>
                </c:pt>
                <c:pt idx="9">
                  <c:v>0.18000000732747234</c:v>
                </c:pt>
                <c:pt idx="10">
                  <c:v>0.20000000777156157</c:v>
                </c:pt>
                <c:pt idx="11">
                  <c:v>0.2200000082156508</c:v>
                </c:pt>
                <c:pt idx="12">
                  <c:v>0.24000000976996314</c:v>
                </c:pt>
                <c:pt idx="13">
                  <c:v>0.26000001021405234</c:v>
                </c:pt>
                <c:pt idx="14">
                  <c:v>0.28000001065814162</c:v>
                </c:pt>
                <c:pt idx="15">
                  <c:v>0.30000001110223085</c:v>
                </c:pt>
                <c:pt idx="16">
                  <c:v>0.32000001154632007</c:v>
                </c:pt>
                <c:pt idx="17">
                  <c:v>0.34000001088018622</c:v>
                </c:pt>
                <c:pt idx="18">
                  <c:v>0.36000001132427545</c:v>
                </c:pt>
                <c:pt idx="19">
                  <c:v>0.38000001176836468</c:v>
                </c:pt>
                <c:pt idx="20">
                  <c:v>0.4000000122124539</c:v>
                </c:pt>
                <c:pt idx="21">
                  <c:v>0.42000001265654313</c:v>
                </c:pt>
                <c:pt idx="22">
                  <c:v>0.44000001199040928</c:v>
                </c:pt>
                <c:pt idx="23">
                  <c:v>0.46000001243449856</c:v>
                </c:pt>
                <c:pt idx="24">
                  <c:v>0.48000001287858779</c:v>
                </c:pt>
                <c:pt idx="25">
                  <c:v>0.50000001221245394</c:v>
                </c:pt>
                <c:pt idx="26">
                  <c:v>0.52000001265654316</c:v>
                </c:pt>
                <c:pt idx="27">
                  <c:v>0.54000001310063239</c:v>
                </c:pt>
                <c:pt idx="28">
                  <c:v>0.5600000124344986</c:v>
                </c:pt>
                <c:pt idx="29">
                  <c:v>0.58000001287858782</c:v>
                </c:pt>
                <c:pt idx="30">
                  <c:v>0.60000001221245391</c:v>
                </c:pt>
                <c:pt idx="31">
                  <c:v>0.62000001154632012</c:v>
                </c:pt>
                <c:pt idx="32">
                  <c:v>0.64000001199040935</c:v>
                </c:pt>
                <c:pt idx="33">
                  <c:v>0.66000001132427544</c:v>
                </c:pt>
                <c:pt idx="34">
                  <c:v>0.68000001065814164</c:v>
                </c:pt>
                <c:pt idx="35">
                  <c:v>0.70000001110223087</c:v>
                </c:pt>
                <c:pt idx="36">
                  <c:v>0.72000001043609696</c:v>
                </c:pt>
                <c:pt idx="37">
                  <c:v>0.74000000976996316</c:v>
                </c:pt>
                <c:pt idx="38">
                  <c:v>0.76000000910382937</c:v>
                </c:pt>
                <c:pt idx="39">
                  <c:v>0.78000000843769546</c:v>
                </c:pt>
                <c:pt idx="40">
                  <c:v>0.80000000888178469</c:v>
                </c:pt>
                <c:pt idx="41">
                  <c:v>0.82000000821565089</c:v>
                </c:pt>
                <c:pt idx="42">
                  <c:v>0.84000000754951698</c:v>
                </c:pt>
                <c:pt idx="43">
                  <c:v>0.86000000688338318</c:v>
                </c:pt>
                <c:pt idx="44">
                  <c:v>0.88000000621724928</c:v>
                </c:pt>
                <c:pt idx="45">
                  <c:v>0.90000000444089234</c:v>
                </c:pt>
                <c:pt idx="46">
                  <c:v>0.92000000377475855</c:v>
                </c:pt>
                <c:pt idx="47">
                  <c:v>0.94000000310862475</c:v>
                </c:pt>
                <c:pt idx="48">
                  <c:v>0.96000000244249084</c:v>
                </c:pt>
                <c:pt idx="49">
                  <c:v>0.98000000177635704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77600"/>
        <c:axId val="146779520"/>
      </c:scatterChart>
      <c:valAx>
        <c:axId val="146777600"/>
        <c:scaling>
          <c:orientation val="minMax"/>
          <c:max val="8"/>
          <c:min val="-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in service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6779520"/>
        <c:crosses val="autoZero"/>
        <c:crossBetween val="midCat"/>
      </c:valAx>
      <c:valAx>
        <c:axId val="1467795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6777600"/>
        <c:crossesAt val="-3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 weather capability value function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'All weather'!$A$2:$A$3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'All weather'!$B$2:$B$3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44384"/>
        <c:axId val="146946304"/>
      </c:lineChart>
      <c:catAx>
        <c:axId val="14694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Deicing capability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46946304"/>
        <c:crosses val="autoZero"/>
        <c:auto val="0"/>
        <c:lblAlgn val="ctr"/>
        <c:lblOffset val="100"/>
        <c:noMultiLvlLbl val="0"/>
      </c:catAx>
      <c:valAx>
        <c:axId val="1469463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6944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2358" cy="627212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17</xdr:row>
      <xdr:rowOff>45719</xdr:rowOff>
    </xdr:from>
    <xdr:to>
      <xdr:col>10</xdr:col>
      <xdr:colOff>362857</xdr:colOff>
      <xdr:row>32</xdr:row>
      <xdr:rowOff>2176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65314</xdr:colOff>
      <xdr:row>30</xdr:row>
      <xdr:rowOff>108766</xdr:rowOff>
    </xdr:from>
    <xdr:to>
      <xdr:col>11</xdr:col>
      <xdr:colOff>10885</xdr:colOff>
      <xdr:row>45</xdr:row>
      <xdr:rowOff>76109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28120</xdr:colOff>
      <xdr:row>16</xdr:row>
      <xdr:rowOff>22405</xdr:rowOff>
    </xdr:from>
    <xdr:to>
      <xdr:col>21</xdr:col>
      <xdr:colOff>463549</xdr:colOff>
      <xdr:row>30</xdr:row>
      <xdr:rowOff>163919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29934</xdr:colOff>
      <xdr:row>17</xdr:row>
      <xdr:rowOff>12340</xdr:rowOff>
    </xdr:from>
    <xdr:to>
      <xdr:col>31</xdr:col>
      <xdr:colOff>182334</xdr:colOff>
      <xdr:row>31</xdr:row>
      <xdr:rowOff>153854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110671</xdr:colOff>
      <xdr:row>31</xdr:row>
      <xdr:rowOff>80554</xdr:rowOff>
    </xdr:from>
    <xdr:to>
      <xdr:col>22</xdr:col>
      <xdr:colOff>1814</xdr:colOff>
      <xdr:row>46</xdr:row>
      <xdr:rowOff>47897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521153</xdr:colOff>
      <xdr:row>32</xdr:row>
      <xdr:rowOff>0</xdr:rowOff>
    </xdr:from>
    <xdr:to>
      <xdr:col>31</xdr:col>
      <xdr:colOff>129267</xdr:colOff>
      <xdr:row>46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106137</xdr:colOff>
      <xdr:row>0</xdr:row>
      <xdr:rowOff>16328</xdr:rowOff>
    </xdr:from>
    <xdr:to>
      <xdr:col>38</xdr:col>
      <xdr:colOff>106137</xdr:colOff>
      <xdr:row>19</xdr:row>
      <xdr:rowOff>146957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85452</xdr:colOff>
      <xdr:row>18</xdr:row>
      <xdr:rowOff>88718</xdr:rowOff>
    </xdr:from>
    <xdr:to>
      <xdr:col>24</xdr:col>
      <xdr:colOff>85452</xdr:colOff>
      <xdr:row>38</xdr:row>
      <xdr:rowOff>126818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507243</xdr:colOff>
      <xdr:row>39</xdr:row>
      <xdr:rowOff>38311</xdr:rowOff>
    </xdr:from>
    <xdr:to>
      <xdr:col>24</xdr:col>
      <xdr:colOff>507243</xdr:colOff>
      <xdr:row>59</xdr:row>
      <xdr:rowOff>76411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54429</xdr:colOff>
      <xdr:row>18</xdr:row>
      <xdr:rowOff>65313</xdr:rowOff>
    </xdr:from>
    <xdr:to>
      <xdr:col>11</xdr:col>
      <xdr:colOff>54429</xdr:colOff>
      <xdr:row>38</xdr:row>
      <xdr:rowOff>103413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602343</xdr:colOff>
      <xdr:row>39</xdr:row>
      <xdr:rowOff>14513</xdr:rowOff>
    </xdr:from>
    <xdr:to>
      <xdr:col>13</xdr:col>
      <xdr:colOff>134257</xdr:colOff>
      <xdr:row>59</xdr:row>
      <xdr:rowOff>52613</xdr:rowOff>
    </xdr:to>
    <xdr:grpSp>
      <xdr:nvGrpSpPr>
        <xdr:cNvPr id="3" name="Group 2"/>
        <xdr:cNvGrpSpPr/>
      </xdr:nvGrpSpPr>
      <xdr:grpSpPr>
        <a:xfrm>
          <a:off x="602343" y="7444013"/>
          <a:ext cx="6806633" cy="3848100"/>
          <a:chOff x="602343" y="7278913"/>
          <a:chExt cx="6847114" cy="3761089"/>
        </a:xfrm>
      </xdr:grpSpPr>
      <xdr:graphicFrame macro="">
        <xdr:nvGraphicFramePr>
          <xdr:cNvPr id="5" name="Chart 4"/>
          <xdr:cNvGraphicFramePr>
            <a:graphicFrameLocks/>
          </xdr:cNvGraphicFramePr>
        </xdr:nvGraphicFramePr>
        <xdr:xfrm>
          <a:off x="602343" y="7278913"/>
          <a:ext cx="5943600" cy="376108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cxnSp macro="">
        <xdr:nvCxnSpPr>
          <xdr:cNvPr id="7" name="Straight Connector 6"/>
          <xdr:cNvCxnSpPr/>
        </xdr:nvCxnSpPr>
        <xdr:spPr>
          <a:xfrm>
            <a:off x="602343" y="8917147"/>
            <a:ext cx="6847114" cy="0"/>
          </a:xfrm>
          <a:prstGeom prst="line">
            <a:avLst/>
          </a:prstGeom>
          <a:ln w="127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171450</xdr:colOff>
      <xdr:row>18</xdr:row>
      <xdr:rowOff>35378</xdr:rowOff>
    </xdr:from>
    <xdr:to>
      <xdr:col>32</xdr:col>
      <xdr:colOff>258536</xdr:colOff>
      <xdr:row>38</xdr:row>
      <xdr:rowOff>73478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533400</xdr:colOff>
      <xdr:row>38</xdr:row>
      <xdr:rowOff>159808</xdr:rowOff>
    </xdr:from>
    <xdr:to>
      <xdr:col>33</xdr:col>
      <xdr:colOff>533400</xdr:colOff>
      <xdr:row>59</xdr:row>
      <xdr:rowOff>16933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228600</xdr:colOff>
      <xdr:row>2</xdr:row>
      <xdr:rowOff>38100</xdr:rowOff>
    </xdr:from>
    <xdr:to>
      <xdr:col>34</xdr:col>
      <xdr:colOff>228600</xdr:colOff>
      <xdr:row>22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0.03339</cdr:x>
      <cdr:y>0.42332</cdr:y>
    </cdr:from>
    <cdr:to>
      <cdr:x>0.96184</cdr:x>
      <cdr:y>0.87945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228625" y="1628210"/>
          <a:ext cx="6357232" cy="1754406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alpha val="38824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334433</xdr:colOff>
      <xdr:row>22</xdr:row>
      <xdr:rowOff>25400</xdr:rowOff>
    </xdr:from>
    <xdr:to>
      <xdr:col>22</xdr:col>
      <xdr:colOff>114299</xdr:colOff>
      <xdr:row>36</xdr:row>
      <xdr:rowOff>160867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127845</xdr:colOff>
      <xdr:row>22</xdr:row>
      <xdr:rowOff>16934</xdr:rowOff>
    </xdr:from>
    <xdr:to>
      <xdr:col>31</xdr:col>
      <xdr:colOff>364912</xdr:colOff>
      <xdr:row>36</xdr:row>
      <xdr:rowOff>152401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105622</xdr:colOff>
      <xdr:row>6</xdr:row>
      <xdr:rowOff>42969</xdr:rowOff>
    </xdr:from>
    <xdr:to>
      <xdr:col>22</xdr:col>
      <xdr:colOff>286597</xdr:colOff>
      <xdr:row>20</xdr:row>
      <xdr:rowOff>178436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76199</xdr:rowOff>
    </xdr:from>
    <xdr:to>
      <xdr:col>10</xdr:col>
      <xdr:colOff>313267</xdr:colOff>
      <xdr:row>35</xdr:row>
      <xdr:rowOff>25399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60324</xdr:colOff>
      <xdr:row>0</xdr:row>
      <xdr:rowOff>52916</xdr:rowOff>
    </xdr:from>
    <xdr:to>
      <xdr:col>36</xdr:col>
      <xdr:colOff>50799</xdr:colOff>
      <xdr:row>19</xdr:row>
      <xdr:rowOff>171449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10</xdr:row>
      <xdr:rowOff>40640</xdr:rowOff>
    </xdr:from>
    <xdr:to>
      <xdr:col>7</xdr:col>
      <xdr:colOff>642620</xdr:colOff>
      <xdr:row>30</xdr:row>
      <xdr:rowOff>142240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788247</xdr:colOff>
      <xdr:row>10</xdr:row>
      <xdr:rowOff>69427</xdr:rowOff>
    </xdr:from>
    <xdr:to>
      <xdr:col>12</xdr:col>
      <xdr:colOff>587587</xdr:colOff>
      <xdr:row>30</xdr:row>
      <xdr:rowOff>171027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7</xdr:col>
      <xdr:colOff>635000</xdr:colOff>
      <xdr:row>51</xdr:row>
      <xdr:rowOff>101600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ropbox/UAV%20Comms%20Thesis/Randy%20UAV%20Cos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PI"/>
      <sheetName val="Sheet3"/>
    </sheetNames>
    <sheetDataSet>
      <sheetData sheetId="0" refreshError="1"/>
      <sheetData sheetId="1" refreshError="1"/>
      <sheetData sheetId="2" refreshError="1">
        <row r="4">
          <cell r="F4">
            <v>4.8089363873716948</v>
          </cell>
        </row>
        <row r="5">
          <cell r="F5">
            <v>3.6373688371466542</v>
          </cell>
        </row>
        <row r="6">
          <cell r="F6">
            <v>26.429602435675921</v>
          </cell>
        </row>
        <row r="7">
          <cell r="F7">
            <v>34.357959906292898</v>
          </cell>
        </row>
        <row r="8">
          <cell r="F8">
            <v>3.3834230952380957</v>
          </cell>
        </row>
        <row r="9">
          <cell r="F9">
            <v>2.0190046678402069</v>
          </cell>
        </row>
        <row r="10">
          <cell r="F10">
            <v>1.496300212946621E-2</v>
          </cell>
        </row>
        <row r="11">
          <cell r="F11">
            <v>1.7456835817710577E-2</v>
          </cell>
        </row>
        <row r="12">
          <cell r="F12">
            <v>0.85606088618099418</v>
          </cell>
        </row>
        <row r="13">
          <cell r="F13">
            <v>8.1808722813740617E-2</v>
          </cell>
        </row>
        <row r="14">
          <cell r="F14">
            <v>95.447859659285413</v>
          </cell>
        </row>
        <row r="15">
          <cell r="F15">
            <v>0.14842142332365665</v>
          </cell>
        </row>
        <row r="16">
          <cell r="F16">
            <v>2.6566246889867919</v>
          </cell>
        </row>
        <row r="17">
          <cell r="F17">
            <v>0.94010418616306357</v>
          </cell>
        </row>
        <row r="18">
          <cell r="F18">
            <v>2.7141500472479669E-2</v>
          </cell>
        </row>
        <row r="19">
          <cell r="F19">
            <v>9.568514795844546E-2</v>
          </cell>
        </row>
        <row r="20">
          <cell r="F20">
            <v>2.5453899682805297</v>
          </cell>
        </row>
        <row r="21">
          <cell r="F21">
            <v>0.11711345408399612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eing.com/boeing/bds/phantom_works/hummingbird.page" TargetMode="External"/><Relationship Id="rId3" Type="http://schemas.openxmlformats.org/officeDocument/2006/relationships/hyperlink" Target="http://www.ga-asi.com/products/aircraft/pdf/MQ-1_Predator.pdf" TargetMode="External"/><Relationship Id="rId7" Type="http://schemas.openxmlformats.org/officeDocument/2006/relationships/hyperlink" Target="http://www.northropgrumman.com/Capabilities/GlobalHawk/Pages/default.asp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ga-asi.com/products/aircraft/pdf/Gray_Eagle.pdf" TargetMode="External"/><Relationship Id="rId1" Type="http://schemas.openxmlformats.org/officeDocument/2006/relationships/hyperlink" Target="http://www.defenseindustrydaily.com/133M-to-Lockheed-Martin-for-US-Army-Aerostat-based-Warning-System-05835/" TargetMode="External"/><Relationship Id="rId6" Type="http://schemas.openxmlformats.org/officeDocument/2006/relationships/hyperlink" Target="http://www.avinc.com/downloads/Raven_Gimbal.pdf" TargetMode="External"/><Relationship Id="rId11" Type="http://schemas.openxmlformats.org/officeDocument/2006/relationships/hyperlink" Target="http://www.ga-asi.com/products/aircraft/pdf/Predator_C.pdf" TargetMode="External"/><Relationship Id="rId5" Type="http://schemas.openxmlformats.org/officeDocument/2006/relationships/hyperlink" Target="http://www.insitu.com/systems/integrator/rq-21a-blackjack" TargetMode="External"/><Relationship Id="rId10" Type="http://schemas.openxmlformats.org/officeDocument/2006/relationships/hyperlink" Target="http://www.fas.org/man/dod-101/sys/land/wsh2012/254.pdf" TargetMode="External"/><Relationship Id="rId4" Type="http://schemas.openxmlformats.org/officeDocument/2006/relationships/hyperlink" Target="http://www.ga-asi.com/products/aircraft/pdf/Predator_B.pdf" TargetMode="External"/><Relationship Id="rId9" Type="http://schemas.openxmlformats.org/officeDocument/2006/relationships/hyperlink" Target="http://www.northropgrumman.com/Capabilities/Triton/Pages/default.asp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eusnetworks.com/sites/oceusnetworks.com/files/oceus-ds-xiphos-7-13final.pdf" TargetMode="External"/><Relationship Id="rId2" Type="http://schemas.openxmlformats.org/officeDocument/2006/relationships/hyperlink" Target="http://rf.harris.com/media/AN-PRC-152_M1_Web_tcm26-9021.pdf" TargetMode="External"/><Relationship Id="rId1" Type="http://schemas.openxmlformats.org/officeDocument/2006/relationships/hyperlink" Target="http://www.defenseindustrydaily.com/Drone-Relay-PRC-152-Radios-RQ-7-UAVs-Front-Line-Bandwidth-04753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ellisware.com/wp-content/uploads/TW-600_Ocelot_Product_bulletin.pdf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51"/>
  <sheetViews>
    <sheetView topLeftCell="A2" zoomScale="80" zoomScaleNormal="80" workbookViewId="0">
      <pane xSplit="1" ySplit="2" topLeftCell="C4" activePane="bottomRight" state="frozen"/>
      <selection activeCell="A2" sqref="A2"/>
      <selection pane="topRight" activeCell="B2" sqref="B2"/>
      <selection pane="bottomLeft" activeCell="A4" sqref="A4"/>
      <selection pane="bottomRight" activeCell="M14" sqref="M14"/>
    </sheetView>
  </sheetViews>
  <sheetFormatPr defaultColWidth="8.85546875" defaultRowHeight="15" x14ac:dyDescent="0.25"/>
  <cols>
    <col min="1" max="1" width="22.28515625" style="20" customWidth="1"/>
    <col min="2" max="2" width="12" style="20" bestFit="1" customWidth="1"/>
    <col min="3" max="3" width="9.5703125" style="20" bestFit="1" customWidth="1"/>
    <col min="4" max="5" width="11.28515625" style="20" bestFit="1" customWidth="1"/>
    <col min="6" max="6" width="11.140625" style="20" bestFit="1" customWidth="1"/>
    <col min="7" max="7" width="7.42578125" style="20" bestFit="1" customWidth="1"/>
    <col min="8" max="8" width="9" style="20" bestFit="1" customWidth="1"/>
    <col min="9" max="9" width="7" style="20" bestFit="1" customWidth="1"/>
    <col min="10" max="10" width="6.7109375" style="20" customWidth="1"/>
    <col min="11" max="11" width="8" style="20" bestFit="1" customWidth="1"/>
    <col min="12" max="12" width="7.28515625" style="20" bestFit="1" customWidth="1"/>
    <col min="13" max="13" width="12.28515625" style="20" bestFit="1" customWidth="1"/>
    <col min="14" max="14" width="9.85546875" style="20" customWidth="1"/>
    <col min="15" max="15" width="8.42578125" style="20" bestFit="1" customWidth="1"/>
    <col min="16" max="16" width="7.28515625" style="20" bestFit="1" customWidth="1"/>
    <col min="17" max="17" width="7.85546875" style="20" bestFit="1" customWidth="1"/>
    <col min="18" max="18" width="5.85546875" style="20" bestFit="1" customWidth="1"/>
    <col min="19" max="19" width="9.5703125" style="20" bestFit="1" customWidth="1"/>
    <col min="20" max="20" width="7.7109375" style="20" customWidth="1"/>
    <col min="21" max="21" width="13.85546875" style="20" bestFit="1" customWidth="1"/>
    <col min="22" max="22" width="10.5703125" style="20" bestFit="1" customWidth="1"/>
    <col min="23" max="26" width="8.85546875" style="20"/>
    <col min="27" max="27" width="11.7109375" style="20" hidden="1" customWidth="1"/>
    <col min="28" max="16384" width="8.85546875" style="20"/>
  </cols>
  <sheetData>
    <row r="2" spans="1:27" ht="14.45" x14ac:dyDescent="0.3">
      <c r="A2" s="20" t="s">
        <v>0</v>
      </c>
      <c r="B2" s="20" t="s">
        <v>13</v>
      </c>
      <c r="C2" s="20" t="s">
        <v>14</v>
      </c>
      <c r="D2" s="20" t="s">
        <v>154</v>
      </c>
      <c r="E2" s="20" t="s">
        <v>182</v>
      </c>
      <c r="F2" s="20" t="s">
        <v>179</v>
      </c>
      <c r="G2" s="20" t="s">
        <v>15</v>
      </c>
      <c r="H2" s="20" t="s">
        <v>16</v>
      </c>
      <c r="I2" s="20" t="s">
        <v>17</v>
      </c>
      <c r="J2" s="20" t="s">
        <v>1</v>
      </c>
      <c r="K2" s="20" t="s">
        <v>18</v>
      </c>
      <c r="L2" s="20" t="s">
        <v>19</v>
      </c>
      <c r="M2" s="20" t="s">
        <v>206</v>
      </c>
      <c r="N2" s="20" t="s">
        <v>120</v>
      </c>
      <c r="O2" s="20" t="s">
        <v>180</v>
      </c>
      <c r="P2" s="20" t="s">
        <v>20</v>
      </c>
      <c r="Q2" s="20" t="s">
        <v>256</v>
      </c>
      <c r="R2" s="20" t="s">
        <v>12</v>
      </c>
      <c r="S2" s="20" t="s">
        <v>2</v>
      </c>
      <c r="T2" s="20" t="s">
        <v>151</v>
      </c>
      <c r="U2" s="20" t="s">
        <v>131</v>
      </c>
      <c r="V2" s="20" t="s">
        <v>129</v>
      </c>
      <c r="W2" s="20" t="s">
        <v>130</v>
      </c>
      <c r="X2" s="20" t="s">
        <v>133</v>
      </c>
      <c r="Y2" s="20" t="s">
        <v>195</v>
      </c>
      <c r="AA2" s="20">
        <v>1000</v>
      </c>
    </row>
    <row r="3" spans="1:27" ht="14.45" x14ac:dyDescent="0.3">
      <c r="A3" s="20" t="s">
        <v>71</v>
      </c>
      <c r="B3" s="20" t="s">
        <v>34</v>
      </c>
      <c r="C3" s="20" t="s">
        <v>35</v>
      </c>
      <c r="D3" s="20" t="s">
        <v>32</v>
      </c>
      <c r="E3" s="20" t="s">
        <v>33</v>
      </c>
      <c r="F3" s="20" t="s">
        <v>36</v>
      </c>
      <c r="G3" s="20" t="s">
        <v>37</v>
      </c>
      <c r="H3" s="20" t="s">
        <v>38</v>
      </c>
      <c r="I3" s="20" t="s">
        <v>39</v>
      </c>
      <c r="J3" s="20" t="s">
        <v>40</v>
      </c>
      <c r="K3" s="20" t="s">
        <v>41</v>
      </c>
      <c r="L3" s="20" t="s">
        <v>42</v>
      </c>
      <c r="M3" s="20" t="s">
        <v>43</v>
      </c>
      <c r="N3" s="20" t="s">
        <v>121</v>
      </c>
      <c r="O3" s="20" t="s">
        <v>44</v>
      </c>
      <c r="P3" s="20" t="s">
        <v>45</v>
      </c>
      <c r="Q3" s="20" t="s">
        <v>46</v>
      </c>
      <c r="T3" s="20" t="s">
        <v>47</v>
      </c>
      <c r="U3" s="20" t="s">
        <v>132</v>
      </c>
      <c r="X3" s="20" t="s">
        <v>132</v>
      </c>
    </row>
    <row r="4" spans="1:27" ht="14.45" x14ac:dyDescent="0.3">
      <c r="A4" s="20" t="s">
        <v>194</v>
      </c>
      <c r="B4" s="21">
        <f t="shared" ref="B4:V4" si="0">B11^0.5*1.229</f>
        <v>194.32196221734694</v>
      </c>
      <c r="C4" s="21">
        <f t="shared" si="0"/>
        <v>209.29115843723551</v>
      </c>
      <c r="D4" s="21">
        <f t="shared" si="0"/>
        <v>313.33474911027668</v>
      </c>
      <c r="E4" s="21">
        <f t="shared" si="0"/>
        <v>301.04228938805261</v>
      </c>
      <c r="F4" s="21">
        <f t="shared" si="0"/>
        <v>292.12996508403586</v>
      </c>
      <c r="G4" s="21">
        <f>G11^0.5*1.229</f>
        <v>150.5211446940263</v>
      </c>
      <c r="H4" s="21">
        <f t="shared" si="0"/>
        <v>173.80684681565339</v>
      </c>
      <c r="I4" s="21">
        <f t="shared" si="0"/>
        <v>274.81275443472418</v>
      </c>
      <c r="J4" s="21">
        <f t="shared" si="0"/>
        <v>145.41724106858857</v>
      </c>
      <c r="K4" s="21">
        <f t="shared" si="0"/>
        <v>109.92510177388968</v>
      </c>
      <c r="L4" s="21">
        <f t="shared" si="0"/>
        <v>27.48127544347242</v>
      </c>
      <c r="M4" s="21">
        <f t="shared" si="0"/>
        <v>173.80684681565339</v>
      </c>
      <c r="N4" s="21">
        <f t="shared" si="0"/>
        <v>150.5211446940263</v>
      </c>
      <c r="O4" s="21">
        <f t="shared" si="0"/>
        <v>171.62051013792032</v>
      </c>
      <c r="P4" s="21">
        <f t="shared" si="0"/>
        <v>245.8</v>
      </c>
      <c r="Q4" s="21">
        <f t="shared" si="0"/>
        <v>38.864392443469384</v>
      </c>
      <c r="R4" s="21">
        <f t="shared" si="0"/>
        <v>24.580000000000002</v>
      </c>
      <c r="S4" s="21">
        <f t="shared" si="0"/>
        <v>171.62051013792032</v>
      </c>
      <c r="T4" s="21">
        <f t="shared" si="0"/>
        <v>122.9</v>
      </c>
      <c r="U4" s="21">
        <f t="shared" si="0"/>
        <v>86.03</v>
      </c>
      <c r="V4" s="21">
        <f t="shared" si="0"/>
        <v>12.593502491364347</v>
      </c>
      <c r="W4" s="21">
        <f>W11^0.5*1.229</f>
        <v>6.7315102317384925</v>
      </c>
      <c r="X4" s="21">
        <f t="shared" ref="X4:Y4" si="1">X11^0.5*1.229</f>
        <v>67.315102317384927</v>
      </c>
      <c r="Y4" s="21">
        <f t="shared" si="1"/>
        <v>274.81275443472418</v>
      </c>
      <c r="Z4" s="21"/>
    </row>
    <row r="5" spans="1:27" ht="14.45" x14ac:dyDescent="0.3">
      <c r="A5" s="20" t="s">
        <v>72</v>
      </c>
      <c r="B5" s="20">
        <v>26.7</v>
      </c>
      <c r="C5" s="20">
        <v>28</v>
      </c>
      <c r="D5" s="20">
        <v>44.4</v>
      </c>
      <c r="E5" s="20">
        <v>47.6</v>
      </c>
      <c r="F5" s="20">
        <v>47.6</v>
      </c>
      <c r="G5" s="20">
        <v>11.8</v>
      </c>
      <c r="H5" s="20">
        <v>30.03</v>
      </c>
      <c r="I5" s="20">
        <v>36</v>
      </c>
      <c r="J5" s="20">
        <v>3</v>
      </c>
      <c r="K5" s="20">
        <v>6</v>
      </c>
      <c r="L5" s="20">
        <v>1.3</v>
      </c>
      <c r="M5" s="20">
        <v>35</v>
      </c>
      <c r="N5" s="20">
        <v>5.6</v>
      </c>
      <c r="O5" s="20">
        <v>8.1999999999999993</v>
      </c>
      <c r="P5" s="20">
        <v>38.200000000000003</v>
      </c>
      <c r="Q5" s="20">
        <v>1.3</v>
      </c>
      <c r="R5" s="20">
        <v>3</v>
      </c>
      <c r="S5" s="20">
        <v>5.0999999999999996</v>
      </c>
      <c r="T5" s="20">
        <v>4.5999999999999996</v>
      </c>
      <c r="U5" s="20">
        <v>115</v>
      </c>
      <c r="V5" s="22">
        <f>V11</f>
        <v>105</v>
      </c>
      <c r="W5" s="21">
        <f>W11</f>
        <v>30</v>
      </c>
      <c r="X5" s="20">
        <v>76</v>
      </c>
      <c r="Y5" s="20">
        <v>44</v>
      </c>
    </row>
    <row r="6" spans="1:27" ht="14.45" x14ac:dyDescent="0.3">
      <c r="A6" s="20" t="s">
        <v>21</v>
      </c>
      <c r="B6" s="20">
        <v>7.3</v>
      </c>
      <c r="C6" s="20">
        <v>7.3</v>
      </c>
      <c r="D6" s="20">
        <v>15.2</v>
      </c>
      <c r="E6" s="20">
        <v>15.4</v>
      </c>
      <c r="F6" s="20">
        <v>15.4</v>
      </c>
      <c r="G6" s="20">
        <v>3.3</v>
      </c>
      <c r="H6" s="20">
        <v>9.7100000000000009</v>
      </c>
      <c r="I6" s="20">
        <v>12.5</v>
      </c>
      <c r="J6" s="20">
        <v>0.3</v>
      </c>
      <c r="K6" s="20">
        <v>1.6</v>
      </c>
      <c r="L6" s="20">
        <v>1.1000000000000001</v>
      </c>
      <c r="M6" s="20">
        <v>8.1</v>
      </c>
      <c r="N6" s="20">
        <v>2</v>
      </c>
      <c r="P6" s="20">
        <v>10.4</v>
      </c>
      <c r="R6" s="20">
        <v>0.5</v>
      </c>
      <c r="X6" s="20">
        <v>25</v>
      </c>
    </row>
    <row r="7" spans="1:27" ht="14.45" x14ac:dyDescent="0.3">
      <c r="A7" s="20" t="s">
        <v>22</v>
      </c>
      <c r="B7" s="20">
        <v>55</v>
      </c>
      <c r="C7" s="20">
        <v>56</v>
      </c>
      <c r="D7" s="20">
        <v>116.2</v>
      </c>
      <c r="E7" s="20">
        <v>130.9</v>
      </c>
      <c r="F7" s="20">
        <v>130.9</v>
      </c>
      <c r="G7" s="20">
        <v>20.399999999999999</v>
      </c>
      <c r="H7" s="20">
        <v>27.5</v>
      </c>
      <c r="I7" s="20">
        <v>66</v>
      </c>
      <c r="J7" s="20">
        <v>4.5</v>
      </c>
      <c r="K7" s="20">
        <v>7</v>
      </c>
      <c r="L7" s="20">
        <v>1.3</v>
      </c>
      <c r="M7" s="20">
        <v>36</v>
      </c>
      <c r="N7" s="20">
        <v>9.6</v>
      </c>
      <c r="O7" s="20">
        <v>16</v>
      </c>
      <c r="P7" s="20">
        <v>62.1</v>
      </c>
      <c r="Q7" s="20">
        <v>2.2999999999999998</v>
      </c>
      <c r="R7" s="20">
        <v>3</v>
      </c>
      <c r="S7" s="20">
        <v>10.199999999999999</v>
      </c>
      <c r="T7" s="20">
        <v>9.1999999999999993</v>
      </c>
      <c r="U7" s="20">
        <v>36.5</v>
      </c>
      <c r="X7" s="20">
        <v>25</v>
      </c>
      <c r="Y7" s="20">
        <v>66</v>
      </c>
      <c r="AA7" s="23"/>
    </row>
    <row r="8" spans="1:27" ht="14.45" hidden="1" x14ac:dyDescent="0.3">
      <c r="A8" s="20" t="s">
        <v>23</v>
      </c>
      <c r="B8" s="20">
        <v>123.3</v>
      </c>
      <c r="C8" s="20">
        <v>123.3</v>
      </c>
      <c r="N8" s="20">
        <v>6.1</v>
      </c>
      <c r="P8" s="20">
        <v>389</v>
      </c>
    </row>
    <row r="9" spans="1:27" ht="14.45" x14ac:dyDescent="0.3">
      <c r="A9" s="20" t="s">
        <v>73</v>
      </c>
      <c r="B9" s="20">
        <v>950</v>
      </c>
      <c r="C9" s="20">
        <v>950</v>
      </c>
      <c r="D9" s="20">
        <v>11350</v>
      </c>
      <c r="E9" s="20">
        <v>14950</v>
      </c>
      <c r="F9" s="20">
        <v>14950</v>
      </c>
      <c r="G9" s="20">
        <v>300</v>
      </c>
      <c r="H9" s="20">
        <v>2073</v>
      </c>
      <c r="I9" s="20">
        <v>4900</v>
      </c>
      <c r="J9" s="20">
        <v>3</v>
      </c>
      <c r="K9" s="20">
        <v>60</v>
      </c>
      <c r="L9" s="20">
        <v>15</v>
      </c>
      <c r="M9" s="20">
        <v>1650</v>
      </c>
      <c r="N9" s="20">
        <v>28.9</v>
      </c>
      <c r="O9" s="20">
        <v>81</v>
      </c>
      <c r="P9" s="20">
        <v>20500</v>
      </c>
      <c r="Q9" s="20">
        <v>0.9</v>
      </c>
      <c r="R9" s="20">
        <v>5</v>
      </c>
      <c r="S9" s="20">
        <v>39.700000000000003</v>
      </c>
      <c r="T9" s="20">
        <v>10</v>
      </c>
    </row>
    <row r="10" spans="1:27" ht="14.45" x14ac:dyDescent="0.3">
      <c r="A10" s="20" t="s">
        <v>24</v>
      </c>
      <c r="B10" s="20">
        <v>450</v>
      </c>
      <c r="C10" s="20">
        <v>1075</v>
      </c>
      <c r="D10" s="20">
        <v>2000</v>
      </c>
      <c r="E10" s="20">
        <v>3000</v>
      </c>
      <c r="F10" s="20">
        <v>3200</v>
      </c>
      <c r="G10" s="20">
        <v>80</v>
      </c>
      <c r="H10" s="20">
        <v>600</v>
      </c>
      <c r="I10" s="20">
        <v>3850</v>
      </c>
      <c r="J10" s="20">
        <f>6.5/16</f>
        <v>0.40625</v>
      </c>
      <c r="K10" s="20">
        <v>20</v>
      </c>
      <c r="L10" s="20">
        <v>2</v>
      </c>
      <c r="M10" s="20">
        <v>2500</v>
      </c>
      <c r="N10" s="20">
        <v>10</v>
      </c>
      <c r="O10" s="20">
        <v>39</v>
      </c>
      <c r="P10" s="20">
        <v>4500</v>
      </c>
      <c r="Q10" s="20">
        <v>0.2</v>
      </c>
      <c r="S10" s="20">
        <v>7.5</v>
      </c>
      <c r="T10" s="20">
        <v>1</v>
      </c>
      <c r="U10" s="20">
        <v>1100</v>
      </c>
      <c r="V10" s="20">
        <v>300</v>
      </c>
      <c r="W10" s="20">
        <v>300</v>
      </c>
      <c r="X10" s="20">
        <v>302</v>
      </c>
      <c r="Y10" s="20">
        <v>6500</v>
      </c>
    </row>
    <row r="11" spans="1:27" ht="14.45" x14ac:dyDescent="0.3">
      <c r="A11" s="20" t="s">
        <v>26</v>
      </c>
      <c r="B11" s="20">
        <v>25000</v>
      </c>
      <c r="C11" s="20">
        <v>29000</v>
      </c>
      <c r="D11" s="20">
        <v>65000</v>
      </c>
      <c r="E11" s="20">
        <v>60000</v>
      </c>
      <c r="F11" s="20">
        <v>56500</v>
      </c>
      <c r="G11" s="20">
        <v>15000</v>
      </c>
      <c r="H11" s="20">
        <v>20000</v>
      </c>
      <c r="I11" s="20">
        <v>50000</v>
      </c>
      <c r="J11" s="20">
        <v>14000</v>
      </c>
      <c r="K11" s="20">
        <v>8000</v>
      </c>
      <c r="L11" s="20">
        <v>500</v>
      </c>
      <c r="M11" s="20">
        <v>20000</v>
      </c>
      <c r="N11" s="20">
        <v>15000</v>
      </c>
      <c r="O11" s="20">
        <v>19500</v>
      </c>
      <c r="P11" s="20">
        <v>40000</v>
      </c>
      <c r="Q11" s="20">
        <v>1000</v>
      </c>
      <c r="R11" s="20">
        <v>400</v>
      </c>
      <c r="S11" s="20">
        <v>19500</v>
      </c>
      <c r="T11" s="20">
        <v>10000</v>
      </c>
      <c r="U11" s="20">
        <v>4900</v>
      </c>
      <c r="V11" s="20">
        <v>105</v>
      </c>
      <c r="W11" s="20">
        <v>30</v>
      </c>
      <c r="X11" s="20">
        <v>3000</v>
      </c>
      <c r="Y11" s="20">
        <v>50000</v>
      </c>
    </row>
    <row r="12" spans="1:27" ht="14.45" x14ac:dyDescent="0.3">
      <c r="A12" s="20" t="s">
        <v>25</v>
      </c>
      <c r="B12" s="20">
        <v>40</v>
      </c>
      <c r="C12" s="20">
        <v>25</v>
      </c>
      <c r="D12" s="20">
        <v>32</v>
      </c>
      <c r="E12" s="20">
        <v>32</v>
      </c>
      <c r="F12" s="20">
        <v>24</v>
      </c>
      <c r="G12" s="20">
        <v>5</v>
      </c>
      <c r="H12" s="20">
        <v>8</v>
      </c>
      <c r="I12" s="20">
        <v>27</v>
      </c>
      <c r="J12" s="20">
        <v>1.5</v>
      </c>
      <c r="K12" s="20">
        <v>4</v>
      </c>
      <c r="L12" s="20">
        <v>1</v>
      </c>
      <c r="M12" s="20">
        <v>20</v>
      </c>
      <c r="N12" s="20">
        <v>10</v>
      </c>
      <c r="O12" s="20">
        <v>13</v>
      </c>
      <c r="P12" s="20">
        <v>9</v>
      </c>
      <c r="Q12" s="20">
        <v>0.75</v>
      </c>
      <c r="R12" s="20">
        <v>0.6</v>
      </c>
      <c r="S12" s="20">
        <v>24</v>
      </c>
      <c r="T12" s="20">
        <v>3.5</v>
      </c>
      <c r="U12" s="20">
        <v>480</v>
      </c>
      <c r="V12" s="20">
        <v>999</v>
      </c>
      <c r="W12" s="20">
        <v>999</v>
      </c>
      <c r="X12" s="20">
        <f>14*24</f>
        <v>336</v>
      </c>
      <c r="Y12" s="20">
        <v>18</v>
      </c>
    </row>
    <row r="13" spans="1:27" ht="14.45" x14ac:dyDescent="0.3">
      <c r="A13" s="20" t="s">
        <v>27</v>
      </c>
      <c r="B13" s="20">
        <v>675</v>
      </c>
      <c r="C13" s="20">
        <v>400</v>
      </c>
      <c r="D13" s="20">
        <v>9500</v>
      </c>
      <c r="E13" s="20">
        <v>8700</v>
      </c>
      <c r="F13" s="20">
        <v>8200</v>
      </c>
      <c r="G13" s="20">
        <v>59</v>
      </c>
      <c r="H13" s="20">
        <v>300</v>
      </c>
      <c r="I13" s="20">
        <v>1000</v>
      </c>
      <c r="J13" s="20">
        <v>5.4</v>
      </c>
      <c r="K13" s="20">
        <v>40</v>
      </c>
      <c r="L13" s="20">
        <v>6</v>
      </c>
      <c r="M13" s="20">
        <v>2250</v>
      </c>
      <c r="O13" s="20">
        <v>55</v>
      </c>
      <c r="P13" s="20">
        <v>1600</v>
      </c>
      <c r="Q13" s="20">
        <v>2.7</v>
      </c>
      <c r="R13" s="20">
        <v>3</v>
      </c>
      <c r="S13" s="20">
        <v>55</v>
      </c>
      <c r="T13" s="20">
        <v>9</v>
      </c>
      <c r="U13" s="20">
        <v>0</v>
      </c>
      <c r="V13" s="20">
        <v>0</v>
      </c>
      <c r="W13" s="20">
        <v>0</v>
      </c>
      <c r="X13" s="20">
        <v>0</v>
      </c>
    </row>
    <row r="14" spans="1:27" ht="14.45" x14ac:dyDescent="0.3">
      <c r="A14" s="20" t="s">
        <v>190</v>
      </c>
      <c r="B14" s="20">
        <v>120</v>
      </c>
      <c r="C14" s="20">
        <v>167</v>
      </c>
      <c r="D14" s="20">
        <v>340</v>
      </c>
      <c r="E14" s="20">
        <v>310</v>
      </c>
      <c r="F14" s="20">
        <v>331</v>
      </c>
      <c r="G14" s="20">
        <v>110</v>
      </c>
      <c r="H14" s="20">
        <v>115</v>
      </c>
      <c r="I14" s="20">
        <v>240</v>
      </c>
      <c r="J14" s="20">
        <v>44</v>
      </c>
      <c r="K14" s="20">
        <v>39</v>
      </c>
      <c r="L14" s="20">
        <v>39</v>
      </c>
      <c r="M14" s="20">
        <v>165</v>
      </c>
      <c r="N14" s="20">
        <v>80</v>
      </c>
      <c r="O14" s="20">
        <v>90</v>
      </c>
      <c r="P14" s="20">
        <v>365</v>
      </c>
      <c r="Q14" s="20">
        <v>35</v>
      </c>
      <c r="R14" s="20">
        <v>30</v>
      </c>
      <c r="S14" s="20">
        <v>80</v>
      </c>
      <c r="T14" s="20">
        <v>45</v>
      </c>
      <c r="U14" s="20">
        <f t="shared" ref="U14:X14" si="2">ROUND(U40/1.15078,0)</f>
        <v>0</v>
      </c>
      <c r="V14" s="20">
        <f t="shared" si="2"/>
        <v>0</v>
      </c>
      <c r="W14" s="20">
        <f t="shared" si="2"/>
        <v>0</v>
      </c>
      <c r="X14" s="20">
        <f t="shared" si="2"/>
        <v>0</v>
      </c>
      <c r="Y14" s="20">
        <v>400</v>
      </c>
    </row>
    <row r="15" spans="1:27" ht="14.45" x14ac:dyDescent="0.3">
      <c r="A15" s="20" t="s">
        <v>74</v>
      </c>
      <c r="B15" s="20">
        <v>5.2409999999999997</v>
      </c>
      <c r="C15" s="20">
        <v>13.156000000000001</v>
      </c>
      <c r="D15" s="20">
        <v>80.037999999999997</v>
      </c>
      <c r="E15" s="20">
        <v>80.037999999999997</v>
      </c>
      <c r="G15" s="20">
        <v>3.7440000000000002</v>
      </c>
      <c r="H15" s="20">
        <v>9.57</v>
      </c>
      <c r="I15" s="20">
        <v>12.72</v>
      </c>
      <c r="J15" s="20">
        <v>6.4000000000000001E-2</v>
      </c>
      <c r="K15" s="20">
        <v>0.36599999999999999</v>
      </c>
      <c r="L15" s="20">
        <v>0.26100000000000001</v>
      </c>
      <c r="O15" s="20">
        <v>1.0209999999999999</v>
      </c>
      <c r="Q15" s="20">
        <v>5.0999999999999997E-2</v>
      </c>
    </row>
    <row r="16" spans="1:27" ht="14.45" x14ac:dyDescent="0.3">
      <c r="A16" s="20" t="s">
        <v>28</v>
      </c>
      <c r="B16" s="20">
        <v>9.6590000000000007</v>
      </c>
      <c r="C16" s="20">
        <v>19.353999999999999</v>
      </c>
      <c r="D16" s="20">
        <v>112.82599999999999</v>
      </c>
      <c r="E16" s="20">
        <v>112.82599999999999</v>
      </c>
      <c r="F16" s="20">
        <v>142.316</v>
      </c>
      <c r="G16" s="20">
        <v>3.7810000000000001</v>
      </c>
      <c r="H16" s="20">
        <v>13.551</v>
      </c>
      <c r="I16" s="20">
        <v>19.338000000000001</v>
      </c>
      <c r="J16" s="20">
        <v>4.2999999999999997E-2</v>
      </c>
      <c r="K16" s="20">
        <v>0.36799999999999999</v>
      </c>
      <c r="L16" s="20">
        <v>0.26100000000000001</v>
      </c>
      <c r="O16" s="20">
        <v>1.988</v>
      </c>
      <c r="Q16" s="20">
        <v>5.6000000000000001E-2</v>
      </c>
    </row>
    <row r="17" spans="1:25" ht="14.45" x14ac:dyDescent="0.3">
      <c r="A17" s="20" t="s">
        <v>29</v>
      </c>
      <c r="B17" s="20">
        <v>9.6590000000000007</v>
      </c>
      <c r="C17" s="20">
        <v>20.582000000000001</v>
      </c>
      <c r="D17" s="20">
        <v>123.553</v>
      </c>
      <c r="E17" s="20">
        <v>123.553</v>
      </c>
      <c r="F17" s="20">
        <v>162.58699999999999</v>
      </c>
      <c r="G17" s="20">
        <v>3.919</v>
      </c>
      <c r="H17" s="20">
        <v>14.622</v>
      </c>
      <c r="I17" s="20">
        <v>20.462</v>
      </c>
      <c r="J17" s="20">
        <v>4.3999999999999997E-2</v>
      </c>
      <c r="K17" s="20">
        <v>0.39300000000000002</v>
      </c>
      <c r="L17" s="20">
        <v>0.26100000000000001</v>
      </c>
      <c r="O17" s="20">
        <v>2.0169999999999999</v>
      </c>
      <c r="Q17" s="20">
        <v>5.6000000000000001E-2</v>
      </c>
    </row>
    <row r="18" spans="1:25" ht="14.45" hidden="1" x14ac:dyDescent="0.3">
      <c r="A18" s="20" t="s">
        <v>30</v>
      </c>
    </row>
    <row r="19" spans="1:25" ht="14.45" hidden="1" x14ac:dyDescent="0.3">
      <c r="A19" s="20" t="s">
        <v>31</v>
      </c>
      <c r="B19" s="20">
        <v>11.32</v>
      </c>
      <c r="C19" s="20">
        <v>23.713000000000001</v>
      </c>
      <c r="D19" s="20">
        <v>196.559</v>
      </c>
      <c r="E19" s="20">
        <v>196.559</v>
      </c>
      <c r="F19" s="20">
        <v>207.16</v>
      </c>
      <c r="G19" s="20">
        <v>4.93</v>
      </c>
      <c r="H19" s="20">
        <v>18.658000000000001</v>
      </c>
      <c r="I19" s="20">
        <v>22.495999999999999</v>
      </c>
      <c r="J19" s="20">
        <v>4.8000000000000001E-2</v>
      </c>
      <c r="K19" s="20">
        <v>0.39300000000000002</v>
      </c>
      <c r="L19" s="20">
        <v>0.71299999999999997</v>
      </c>
      <c r="M19" s="20">
        <v>16.988</v>
      </c>
      <c r="O19" s="20">
        <v>5.4139999999999997</v>
      </c>
      <c r="P19" s="20">
        <v>731.45</v>
      </c>
      <c r="Q19" s="20">
        <v>5.6000000000000001E-2</v>
      </c>
      <c r="V19" s="20">
        <f>15.1/25</f>
        <v>0.60399999999999998</v>
      </c>
    </row>
    <row r="20" spans="1:25" ht="14.45" hidden="1" x14ac:dyDescent="0.3">
      <c r="A20" s="20" t="s">
        <v>6</v>
      </c>
    </row>
    <row r="21" spans="1:25" ht="14.45" hidden="1" x14ac:dyDescent="0.3">
      <c r="A21" s="20" t="s">
        <v>7</v>
      </c>
    </row>
    <row r="22" spans="1:25" ht="14.45" x14ac:dyDescent="0.3">
      <c r="A22" s="20" t="s">
        <v>3</v>
      </c>
      <c r="B22" s="20" t="s">
        <v>93</v>
      </c>
      <c r="C22" s="20" t="s">
        <v>93</v>
      </c>
      <c r="D22" s="20" t="s">
        <v>93</v>
      </c>
      <c r="E22" s="20" t="s">
        <v>93</v>
      </c>
      <c r="F22" s="20" t="s">
        <v>93</v>
      </c>
      <c r="G22" s="20" t="s">
        <v>92</v>
      </c>
      <c r="H22" s="20" t="s">
        <v>91</v>
      </c>
      <c r="I22" s="20" t="s">
        <v>93</v>
      </c>
      <c r="J22" s="20" t="s">
        <v>117</v>
      </c>
      <c r="K22" s="20" t="s">
        <v>92</v>
      </c>
      <c r="L22" s="20" t="s">
        <v>91</v>
      </c>
      <c r="M22" s="20" t="s">
        <v>91</v>
      </c>
      <c r="N22" s="20" t="s">
        <v>92</v>
      </c>
      <c r="O22" s="20" t="s">
        <v>92</v>
      </c>
      <c r="P22" s="20" t="s">
        <v>155</v>
      </c>
      <c r="Q22" s="20" t="s">
        <v>117</v>
      </c>
      <c r="R22" s="20" t="s">
        <v>91</v>
      </c>
      <c r="S22" s="20" t="s">
        <v>92</v>
      </c>
      <c r="T22" s="20" t="s">
        <v>117</v>
      </c>
      <c r="U22" s="20" t="s">
        <v>91</v>
      </c>
      <c r="V22" s="20" t="s">
        <v>91</v>
      </c>
      <c r="W22" s="20" t="s">
        <v>91</v>
      </c>
      <c r="X22" s="20" t="s">
        <v>91</v>
      </c>
      <c r="Y22" s="20" t="s">
        <v>93</v>
      </c>
    </row>
    <row r="23" spans="1:25" ht="14.45" x14ac:dyDescent="0.3">
      <c r="A23" s="20" t="s">
        <v>4</v>
      </c>
      <c r="B23" s="20" t="s">
        <v>93</v>
      </c>
      <c r="C23" s="20" t="s">
        <v>93</v>
      </c>
      <c r="D23" s="20" t="s">
        <v>93</v>
      </c>
      <c r="E23" s="20" t="s">
        <v>93</v>
      </c>
      <c r="F23" s="20" t="s">
        <v>93</v>
      </c>
      <c r="G23" s="20" t="s">
        <v>97</v>
      </c>
      <c r="H23" s="20" t="s">
        <v>91</v>
      </c>
      <c r="I23" s="20" t="s">
        <v>93</v>
      </c>
      <c r="J23" s="20" t="s">
        <v>94</v>
      </c>
      <c r="K23" s="20" t="s">
        <v>122</v>
      </c>
      <c r="L23" s="20" t="s">
        <v>91</v>
      </c>
      <c r="M23" s="20" t="s">
        <v>91</v>
      </c>
      <c r="N23" s="20" t="s">
        <v>96</v>
      </c>
      <c r="O23" s="20" t="s">
        <v>95</v>
      </c>
      <c r="P23" s="20" t="s">
        <v>97</v>
      </c>
      <c r="Q23" s="20" t="s">
        <v>94</v>
      </c>
      <c r="R23" s="20" t="s">
        <v>91</v>
      </c>
      <c r="S23" s="20" t="s">
        <v>95</v>
      </c>
      <c r="T23" s="20" t="s">
        <v>94</v>
      </c>
      <c r="U23" s="20" t="s">
        <v>91</v>
      </c>
      <c r="V23" s="20" t="s">
        <v>91</v>
      </c>
      <c r="W23" s="20" t="s">
        <v>91</v>
      </c>
      <c r="X23" s="20" t="s">
        <v>91</v>
      </c>
      <c r="Y23" s="20" t="s">
        <v>93</v>
      </c>
    </row>
    <row r="24" spans="1:25" ht="14.45" x14ac:dyDescent="0.3">
      <c r="A24" s="20" t="s">
        <v>5</v>
      </c>
      <c r="B24" s="20" t="s">
        <v>116</v>
      </c>
      <c r="C24" s="20" t="s">
        <v>116</v>
      </c>
      <c r="D24" s="20" t="s">
        <v>116</v>
      </c>
      <c r="E24" s="20" t="s">
        <v>116</v>
      </c>
      <c r="F24" s="20" t="s">
        <v>116</v>
      </c>
      <c r="G24" s="20" t="s">
        <v>116</v>
      </c>
      <c r="H24" s="20" t="s">
        <v>116</v>
      </c>
      <c r="I24" s="20" t="s">
        <v>116</v>
      </c>
      <c r="J24" s="20" t="s">
        <v>116</v>
      </c>
      <c r="K24" s="20" t="s">
        <v>116</v>
      </c>
      <c r="L24" s="20" t="s">
        <v>116</v>
      </c>
      <c r="M24" s="20" t="s">
        <v>116</v>
      </c>
      <c r="N24" s="20" t="s">
        <v>116</v>
      </c>
      <c r="O24" s="20" t="s">
        <v>116</v>
      </c>
      <c r="P24" s="20" t="s">
        <v>123</v>
      </c>
      <c r="Q24" s="20" t="s">
        <v>116</v>
      </c>
      <c r="R24" s="20" t="s">
        <v>116</v>
      </c>
      <c r="S24" s="20" t="s">
        <v>116</v>
      </c>
      <c r="T24" s="20" t="s">
        <v>116</v>
      </c>
      <c r="U24" s="20" t="s">
        <v>116</v>
      </c>
      <c r="V24" s="20" t="s">
        <v>116</v>
      </c>
      <c r="W24" s="20" t="s">
        <v>116</v>
      </c>
      <c r="X24" s="20" t="s">
        <v>116</v>
      </c>
      <c r="Y24" s="20" t="s">
        <v>123</v>
      </c>
    </row>
    <row r="25" spans="1:25" s="24" customFormat="1" ht="14.45" x14ac:dyDescent="0.3">
      <c r="A25" s="20" t="s">
        <v>124</v>
      </c>
      <c r="B25" s="24">
        <v>2005</v>
      </c>
      <c r="C25" s="24">
        <v>2012</v>
      </c>
      <c r="D25" s="24">
        <v>2005</v>
      </c>
      <c r="E25" s="24">
        <v>2005</v>
      </c>
      <c r="F25" s="24">
        <v>2015</v>
      </c>
      <c r="G25" s="24">
        <v>2002</v>
      </c>
      <c r="H25" s="24">
        <v>2009</v>
      </c>
      <c r="I25" s="24">
        <v>2009</v>
      </c>
      <c r="J25" s="24">
        <v>2003</v>
      </c>
      <c r="K25" s="25">
        <v>2002</v>
      </c>
      <c r="L25" s="24">
        <v>2010</v>
      </c>
      <c r="M25" s="25" t="s">
        <v>127</v>
      </c>
      <c r="N25" s="24">
        <v>2009</v>
      </c>
      <c r="O25" s="24">
        <v>2014</v>
      </c>
      <c r="P25" s="24">
        <v>2019</v>
      </c>
      <c r="Q25" s="24">
        <v>2007</v>
      </c>
      <c r="R25" s="25" t="s">
        <v>127</v>
      </c>
      <c r="S25" s="24">
        <v>2005</v>
      </c>
      <c r="T25" s="24">
        <v>2008</v>
      </c>
      <c r="U25" s="24">
        <v>2004</v>
      </c>
      <c r="V25" s="24">
        <v>2004</v>
      </c>
      <c r="W25" s="24">
        <v>2007</v>
      </c>
      <c r="X25" s="24">
        <v>2010</v>
      </c>
      <c r="Y25" s="24">
        <v>2015</v>
      </c>
    </row>
    <row r="26" spans="1:25" s="24" customFormat="1" ht="14.45" x14ac:dyDescent="0.3">
      <c r="A26" s="20" t="s">
        <v>128</v>
      </c>
      <c r="B26" s="24">
        <f t="shared" ref="B26:J26" si="3">IF(EXACT(B25,"-"),B25,2014-B25)</f>
        <v>9</v>
      </c>
      <c r="C26" s="24">
        <f t="shared" si="3"/>
        <v>2</v>
      </c>
      <c r="D26" s="24">
        <f t="shared" si="3"/>
        <v>9</v>
      </c>
      <c r="E26" s="24">
        <f t="shared" si="3"/>
        <v>9</v>
      </c>
      <c r="F26" s="24">
        <f t="shared" si="3"/>
        <v>-1</v>
      </c>
      <c r="G26" s="24">
        <f t="shared" si="3"/>
        <v>12</v>
      </c>
      <c r="H26" s="24">
        <f t="shared" si="3"/>
        <v>5</v>
      </c>
      <c r="I26" s="24">
        <f t="shared" si="3"/>
        <v>5</v>
      </c>
      <c r="J26" s="24">
        <f t="shared" si="3"/>
        <v>11</v>
      </c>
      <c r="K26" s="24">
        <f>IF(EXACT(K25,"-"),K25,2014-K25)</f>
        <v>12</v>
      </c>
      <c r="L26" s="24">
        <f t="shared" ref="L26:Y26" si="4">IF(EXACT(L25,"-"),L25,2014-L25)</f>
        <v>4</v>
      </c>
      <c r="M26" s="24" t="str">
        <f t="shared" si="4"/>
        <v>-</v>
      </c>
      <c r="N26" s="24">
        <f t="shared" si="4"/>
        <v>5</v>
      </c>
      <c r="O26" s="24">
        <f t="shared" si="4"/>
        <v>0</v>
      </c>
      <c r="P26" s="24">
        <f t="shared" si="4"/>
        <v>-5</v>
      </c>
      <c r="Q26" s="24">
        <f t="shared" si="4"/>
        <v>7</v>
      </c>
      <c r="R26" s="24" t="str">
        <f t="shared" si="4"/>
        <v>-</v>
      </c>
      <c r="S26" s="24">
        <f t="shared" si="4"/>
        <v>9</v>
      </c>
      <c r="T26" s="24">
        <f t="shared" si="4"/>
        <v>6</v>
      </c>
      <c r="U26" s="24">
        <f t="shared" si="4"/>
        <v>10</v>
      </c>
      <c r="V26" s="24">
        <f t="shared" si="4"/>
        <v>10</v>
      </c>
      <c r="W26" s="24">
        <f t="shared" si="4"/>
        <v>7</v>
      </c>
      <c r="X26" s="24">
        <f t="shared" si="4"/>
        <v>4</v>
      </c>
      <c r="Y26" s="24">
        <f t="shared" si="4"/>
        <v>-1</v>
      </c>
    </row>
    <row r="27" spans="1:25" x14ac:dyDescent="0.25">
      <c r="A27" s="20" t="s">
        <v>125</v>
      </c>
      <c r="B27" s="24">
        <v>2011</v>
      </c>
      <c r="C27" s="24">
        <v>2011</v>
      </c>
      <c r="D27" s="24">
        <v>2011</v>
      </c>
      <c r="E27" s="24">
        <v>2011</v>
      </c>
      <c r="F27" s="24">
        <v>2011</v>
      </c>
      <c r="G27" s="24">
        <v>2011</v>
      </c>
      <c r="H27" s="24">
        <v>2011</v>
      </c>
      <c r="I27" s="24">
        <v>2011</v>
      </c>
      <c r="J27" s="24">
        <v>2011</v>
      </c>
      <c r="K27" s="24">
        <v>2011</v>
      </c>
      <c r="L27" s="24">
        <v>2011</v>
      </c>
      <c r="M27" s="26"/>
      <c r="O27" s="24">
        <v>2011</v>
      </c>
      <c r="P27" s="26"/>
      <c r="Q27" s="24">
        <v>2011</v>
      </c>
      <c r="S27" s="20">
        <v>2007</v>
      </c>
      <c r="V27" s="20">
        <v>2007</v>
      </c>
    </row>
    <row r="28" spans="1:25" ht="14.45" hidden="1" x14ac:dyDescent="0.3">
      <c r="A28" s="20" t="s">
        <v>126</v>
      </c>
      <c r="B28" s="24"/>
      <c r="C28" s="24"/>
      <c r="D28" s="24"/>
      <c r="F28" s="24"/>
      <c r="G28" s="24"/>
      <c r="H28" s="24"/>
      <c r="I28" s="24"/>
      <c r="J28" s="24"/>
      <c r="K28" s="24"/>
      <c r="L28" s="24"/>
      <c r="M28" s="26"/>
      <c r="O28" s="24"/>
      <c r="P28" s="26"/>
      <c r="Q28" s="24"/>
    </row>
    <row r="29" spans="1:25" ht="14.45" hidden="1" x14ac:dyDescent="0.3">
      <c r="A29" s="20" t="s">
        <v>8</v>
      </c>
    </row>
    <row r="30" spans="1:25" x14ac:dyDescent="0.25">
      <c r="A30" s="20" t="s">
        <v>119</v>
      </c>
      <c r="B30" s="20" t="s">
        <v>116</v>
      </c>
      <c r="C30" s="20" t="s">
        <v>116</v>
      </c>
      <c r="D30" s="20" t="s">
        <v>116</v>
      </c>
      <c r="E30" s="20" t="s">
        <v>116</v>
      </c>
      <c r="F30" s="20" t="s">
        <v>123</v>
      </c>
      <c r="G30" s="20" t="s">
        <v>116</v>
      </c>
      <c r="H30" s="20" t="s">
        <v>116</v>
      </c>
      <c r="I30" s="20" t="s">
        <v>116</v>
      </c>
      <c r="J30" s="20" t="s">
        <v>116</v>
      </c>
      <c r="K30" s="20" t="s">
        <v>116</v>
      </c>
      <c r="L30" s="20" t="s">
        <v>116</v>
      </c>
      <c r="M30" s="20" t="s">
        <v>116</v>
      </c>
      <c r="N30" s="20" t="s">
        <v>123</v>
      </c>
      <c r="O30" s="20" t="s">
        <v>116</v>
      </c>
      <c r="P30" s="20" t="s">
        <v>123</v>
      </c>
      <c r="Q30" s="20" t="s">
        <v>116</v>
      </c>
      <c r="R30" s="20" t="s">
        <v>116</v>
      </c>
      <c r="S30" s="20" t="s">
        <v>116</v>
      </c>
      <c r="T30" s="20" t="s">
        <v>116</v>
      </c>
      <c r="U30" s="20" t="s">
        <v>116</v>
      </c>
      <c r="V30" s="20" t="s">
        <v>123</v>
      </c>
      <c r="W30" s="20" t="s">
        <v>123</v>
      </c>
      <c r="X30" s="20" t="s">
        <v>116</v>
      </c>
      <c r="Y30" s="20" t="s">
        <v>116</v>
      </c>
    </row>
    <row r="31" spans="1:25" ht="14.45" hidden="1" x14ac:dyDescent="0.3">
      <c r="A31" s="20" t="s">
        <v>149</v>
      </c>
      <c r="B31" s="20">
        <v>4.79</v>
      </c>
      <c r="E31" s="20">
        <v>3.34</v>
      </c>
      <c r="I31" s="20">
        <v>3.17</v>
      </c>
    </row>
    <row r="32" spans="1:25" ht="14.45" hidden="1" x14ac:dyDescent="0.3">
      <c r="A32" s="20" t="s">
        <v>135</v>
      </c>
      <c r="B32" s="20">
        <v>107</v>
      </c>
      <c r="E32" s="20">
        <v>6</v>
      </c>
      <c r="I32" s="20">
        <v>20</v>
      </c>
    </row>
    <row r="33" spans="1:25" ht="14.45" hidden="1" x14ac:dyDescent="0.3">
      <c r="A33" s="20" t="s">
        <v>134</v>
      </c>
      <c r="B33" s="20">
        <v>1465451</v>
      </c>
      <c r="E33" s="20">
        <v>84409</v>
      </c>
      <c r="I33" s="20">
        <v>468861</v>
      </c>
    </row>
    <row r="34" spans="1:25" x14ac:dyDescent="0.25">
      <c r="A34" s="20" t="s">
        <v>84</v>
      </c>
      <c r="B34" s="20">
        <f>2*DEGREES(ATAN((0.5*MAX(B$7,B$5))/B$11))</f>
        <v>0.12605066408836302</v>
      </c>
      <c r="C34" s="20">
        <f t="shared" ref="C34:Y34" si="5">2*DEGREES(ATAN((0.5*MAX(C$7,C$5))/C$11))</f>
        <v>0.11064009157587271</v>
      </c>
      <c r="D34" s="20">
        <f t="shared" si="5"/>
        <v>0.10242719702033416</v>
      </c>
      <c r="E34" s="20">
        <f t="shared" si="5"/>
        <v>0.12500024272440402</v>
      </c>
      <c r="F34" s="20">
        <f t="shared" si="5"/>
        <v>0.13274361386707836</v>
      </c>
      <c r="G34" s="20">
        <f t="shared" si="5"/>
        <v>7.7922248127377594E-2</v>
      </c>
      <c r="H34" s="20">
        <f t="shared" si="5"/>
        <v>8.6029596776068917E-2</v>
      </c>
      <c r="I34" s="20">
        <f t="shared" si="5"/>
        <v>7.563041797573325E-2</v>
      </c>
      <c r="J34" s="20">
        <f t="shared" si="5"/>
        <v>1.8416500399216031E-2</v>
      </c>
      <c r="K34" s="20">
        <f t="shared" si="5"/>
        <v>5.0133803875306068E-2</v>
      </c>
      <c r="L34" s="20">
        <f t="shared" si="5"/>
        <v>0.14896894281488071</v>
      </c>
      <c r="M34" s="20">
        <f t="shared" si="5"/>
        <v>0.10313237527781287</v>
      </c>
      <c r="N34" s="20">
        <f t="shared" si="5"/>
        <v>3.6669297636727362E-2</v>
      </c>
      <c r="O34" s="20">
        <f t="shared" si="5"/>
        <v>4.7011919014229561E-2</v>
      </c>
      <c r="P34" s="20">
        <f t="shared" si="5"/>
        <v>8.895167982770133E-2</v>
      </c>
      <c r="Q34" s="20">
        <f t="shared" si="5"/>
        <v>0.13178023478698964</v>
      </c>
      <c r="R34" s="20">
        <f t="shared" si="5"/>
        <v>0.42971633206036441</v>
      </c>
      <c r="S34" s="20">
        <f t="shared" si="5"/>
        <v>2.9970099369655008E-2</v>
      </c>
      <c r="T34" s="20">
        <f t="shared" si="5"/>
        <v>5.2712113434074878E-2</v>
      </c>
      <c r="U34" s="20">
        <f t="shared" si="5"/>
        <v>1.3446351482735612</v>
      </c>
      <c r="V34" s="20">
        <f>2*DEGREES(ATAN((0.5*MAX(V$7,V$5))/V$11))</f>
        <v>53.13010235415598</v>
      </c>
      <c r="W34" s="20">
        <f t="shared" si="5"/>
        <v>53.13010235415598</v>
      </c>
      <c r="X34" s="20">
        <f t="shared" si="5"/>
        <v>1.4514154604698861</v>
      </c>
      <c r="Y34" s="20">
        <f t="shared" si="5"/>
        <v>7.563041797573325E-2</v>
      </c>
    </row>
    <row r="35" spans="1:25" ht="14.45" hidden="1" x14ac:dyDescent="0.3">
      <c r="M35" s="20" t="s">
        <v>140</v>
      </c>
      <c r="U35" s="27" t="s">
        <v>142</v>
      </c>
      <c r="V35" s="20" t="s">
        <v>136</v>
      </c>
      <c r="W35" s="20" t="s">
        <v>143</v>
      </c>
    </row>
    <row r="36" spans="1:25" ht="14.45" hidden="1" x14ac:dyDescent="0.3"/>
    <row r="37" spans="1:25" ht="14.45" hidden="1" x14ac:dyDescent="0.3">
      <c r="B37" s="20" t="s">
        <v>150</v>
      </c>
    </row>
    <row r="38" spans="1:25" ht="14.45" hidden="1" x14ac:dyDescent="0.3">
      <c r="B38" s="20" t="s">
        <v>152</v>
      </c>
    </row>
    <row r="39" spans="1:25" ht="14.45" hidden="1" x14ac:dyDescent="0.3">
      <c r="B39" s="20" t="s">
        <v>153</v>
      </c>
    </row>
    <row r="40" spans="1:25" hidden="1" x14ac:dyDescent="0.25"/>
    <row r="41" spans="1:25" hidden="1" x14ac:dyDescent="0.25"/>
    <row r="42" spans="1:25" ht="14.45" hidden="1" x14ac:dyDescent="0.3">
      <c r="A42" s="20" t="s">
        <v>198</v>
      </c>
      <c r="B42" s="27" t="s">
        <v>199</v>
      </c>
      <c r="C42" s="27" t="s">
        <v>197</v>
      </c>
      <c r="E42" s="27" t="s">
        <v>201</v>
      </c>
      <c r="F42" s="27" t="s">
        <v>202</v>
      </c>
      <c r="H42" s="20" t="s">
        <v>208</v>
      </c>
      <c r="I42" s="27" t="s">
        <v>200</v>
      </c>
      <c r="J42" s="27" t="s">
        <v>209</v>
      </c>
      <c r="M42" s="27" t="s">
        <v>207</v>
      </c>
      <c r="O42" s="27" t="s">
        <v>210</v>
      </c>
      <c r="Q42" s="20" t="s">
        <v>211</v>
      </c>
      <c r="S42" s="20" t="s">
        <v>212</v>
      </c>
      <c r="U42" s="20" t="s">
        <v>203</v>
      </c>
      <c r="X42" s="20" t="s">
        <v>204</v>
      </c>
      <c r="Y42" s="27" t="s">
        <v>196</v>
      </c>
    </row>
    <row r="43" spans="1:25" ht="14.45" hidden="1" x14ac:dyDescent="0.3">
      <c r="B43" s="20" t="s">
        <v>214</v>
      </c>
      <c r="C43" s="27" t="s">
        <v>215</v>
      </c>
      <c r="G43" s="20" t="s">
        <v>205</v>
      </c>
      <c r="N43" s="20" t="s">
        <v>205</v>
      </c>
      <c r="S43" s="20" t="s">
        <v>213</v>
      </c>
    </row>
    <row r="44" spans="1:25" ht="14.45" hidden="1" x14ac:dyDescent="0.3"/>
    <row r="45" spans="1:25" ht="14.45" hidden="1" x14ac:dyDescent="0.3">
      <c r="B45" s="20">
        <f>2*DEGREES(ATAN((0.5*MAX(B$7,B$5))/B$11))</f>
        <v>0.12605066408836302</v>
      </c>
      <c r="C45" s="20">
        <f t="shared" ref="C45:Y45" si="6">2*DEGREES(ATAN((0.5*MAX(C$7,C$5))/C$11))</f>
        <v>0.11064009157587271</v>
      </c>
      <c r="D45" s="20">
        <f t="shared" si="6"/>
        <v>0.10242719702033416</v>
      </c>
      <c r="E45" s="20">
        <f t="shared" si="6"/>
        <v>0.12500024272440402</v>
      </c>
      <c r="F45" s="20">
        <f t="shared" si="6"/>
        <v>0.13274361386707836</v>
      </c>
      <c r="G45" s="20">
        <f t="shared" si="6"/>
        <v>7.7922248127377594E-2</v>
      </c>
      <c r="H45" s="20">
        <f t="shared" si="6"/>
        <v>8.6029596776068917E-2</v>
      </c>
      <c r="I45" s="20">
        <f t="shared" si="6"/>
        <v>7.563041797573325E-2</v>
      </c>
      <c r="J45" s="20">
        <f t="shared" si="6"/>
        <v>1.8416500399216031E-2</v>
      </c>
      <c r="K45" s="20">
        <f t="shared" si="6"/>
        <v>5.0133803875306068E-2</v>
      </c>
      <c r="L45" s="20">
        <f t="shared" si="6"/>
        <v>0.14896894281488071</v>
      </c>
      <c r="M45" s="20">
        <f t="shared" si="6"/>
        <v>0.10313237527781287</v>
      </c>
      <c r="N45" s="20">
        <f t="shared" si="6"/>
        <v>3.6669297636727362E-2</v>
      </c>
      <c r="O45" s="20">
        <f t="shared" si="6"/>
        <v>4.7011919014229561E-2</v>
      </c>
      <c r="P45" s="20">
        <f t="shared" si="6"/>
        <v>8.895167982770133E-2</v>
      </c>
      <c r="Q45" s="20">
        <f t="shared" si="6"/>
        <v>0.13178023478698964</v>
      </c>
      <c r="R45" s="20">
        <f t="shared" si="6"/>
        <v>0.42971633206036441</v>
      </c>
      <c r="S45" s="20">
        <f t="shared" si="6"/>
        <v>2.9970099369655008E-2</v>
      </c>
      <c r="T45" s="20">
        <f t="shared" si="6"/>
        <v>5.2712113434074878E-2</v>
      </c>
      <c r="U45" s="20">
        <f t="shared" si="6"/>
        <v>1.3446351482735612</v>
      </c>
      <c r="V45" s="20">
        <f t="shared" si="6"/>
        <v>53.13010235415598</v>
      </c>
      <c r="W45" s="20">
        <f t="shared" si="6"/>
        <v>53.13010235415598</v>
      </c>
      <c r="X45" s="20">
        <f t="shared" si="6"/>
        <v>1.4514154604698861</v>
      </c>
      <c r="Y45" s="20">
        <f t="shared" si="6"/>
        <v>7.563041797573325E-2</v>
      </c>
    </row>
    <row r="46" spans="1:25" ht="14.45" hidden="1" x14ac:dyDescent="0.3">
      <c r="B46" s="20">
        <f t="shared" ref="B46:Q46" si="7">(B5*B7)/2/(B11/$AA$2)^2</f>
        <v>1.1748000000000001</v>
      </c>
      <c r="C46" s="20">
        <f t="shared" si="7"/>
        <v>0.93222354340071345</v>
      </c>
      <c r="D46" s="20">
        <f t="shared" si="7"/>
        <v>0.61056568047337278</v>
      </c>
      <c r="E46" s="20">
        <f t="shared" si="7"/>
        <v>0.86539444444444447</v>
      </c>
      <c r="F46" s="20">
        <f t="shared" si="7"/>
        <v>0.9759323361265565</v>
      </c>
      <c r="G46" s="20">
        <f t="shared" si="7"/>
        <v>0.53493333333333337</v>
      </c>
      <c r="H46" s="20">
        <f t="shared" si="7"/>
        <v>1.03228125</v>
      </c>
      <c r="I46" s="20">
        <f t="shared" si="7"/>
        <v>0.47520000000000001</v>
      </c>
      <c r="J46" s="20">
        <f t="shared" si="7"/>
        <v>3.4438775510204078E-2</v>
      </c>
      <c r="K46" s="20">
        <f t="shared" si="7"/>
        <v>0.328125</v>
      </c>
      <c r="L46" s="20">
        <f t="shared" si="7"/>
        <v>3.3800000000000003</v>
      </c>
      <c r="M46" s="20">
        <f t="shared" si="7"/>
        <v>1.575</v>
      </c>
      <c r="N46" s="20">
        <f t="shared" si="7"/>
        <v>0.11946666666666667</v>
      </c>
      <c r="O46" s="20">
        <f t="shared" si="7"/>
        <v>0.17251808021038789</v>
      </c>
      <c r="P46" s="20">
        <f t="shared" si="7"/>
        <v>0.74131875000000003</v>
      </c>
      <c r="Q46" s="20">
        <f t="shared" si="7"/>
        <v>1.4949999999999999</v>
      </c>
      <c r="S46" s="20">
        <f>(S5*S7)/2/(S11/$AA$2)^2</f>
        <v>6.8402366863905315E-2</v>
      </c>
      <c r="T46" s="20">
        <f>(T5*T7)/2/(T11/$AA$2)^2</f>
        <v>0.21159999999999995</v>
      </c>
      <c r="U46" s="20">
        <v>9</v>
      </c>
      <c r="V46" s="20">
        <v>9</v>
      </c>
      <c r="W46" s="20">
        <v>9</v>
      </c>
      <c r="X46" s="20">
        <v>9</v>
      </c>
      <c r="Y46" s="20">
        <f>(Y5*Y7)/2/(Y11/$AA$2)^2</f>
        <v>0.58079999999999998</v>
      </c>
    </row>
    <row r="47" spans="1:25" ht="14.45" hidden="1" x14ac:dyDescent="0.3"/>
    <row r="48" spans="1:25" ht="14.45" hidden="1" x14ac:dyDescent="0.3"/>
    <row r="49" spans="1:25" hidden="1" x14ac:dyDescent="0.25"/>
    <row r="50" spans="1:25" x14ac:dyDescent="0.25">
      <c r="A50" s="20" t="s">
        <v>251</v>
      </c>
      <c r="B50" s="20" t="s">
        <v>116</v>
      </c>
      <c r="C50" s="20" t="s">
        <v>116</v>
      </c>
      <c r="D50" s="20" t="s">
        <v>116</v>
      </c>
      <c r="E50" s="20" t="s">
        <v>116</v>
      </c>
      <c r="F50" s="20" t="s">
        <v>116</v>
      </c>
      <c r="G50" s="20" t="s">
        <v>116</v>
      </c>
      <c r="H50" s="20" t="s">
        <v>116</v>
      </c>
      <c r="I50" s="20" t="s">
        <v>116</v>
      </c>
      <c r="J50" s="20" t="s">
        <v>123</v>
      </c>
      <c r="K50" s="20" t="s">
        <v>116</v>
      </c>
      <c r="L50" s="20" t="s">
        <v>116</v>
      </c>
      <c r="M50" s="20" t="s">
        <v>116</v>
      </c>
      <c r="N50" s="20" t="s">
        <v>116</v>
      </c>
      <c r="O50" s="20" t="s">
        <v>116</v>
      </c>
      <c r="P50" s="20" t="s">
        <v>116</v>
      </c>
      <c r="Q50" s="20" t="s">
        <v>123</v>
      </c>
      <c r="R50" s="20" t="s">
        <v>116</v>
      </c>
      <c r="S50" s="20" t="s">
        <v>116</v>
      </c>
      <c r="T50" s="20" t="s">
        <v>116</v>
      </c>
      <c r="U50" s="20" t="s">
        <v>116</v>
      </c>
      <c r="V50" s="20" t="s">
        <v>116</v>
      </c>
      <c r="W50" s="20" t="s">
        <v>116</v>
      </c>
      <c r="X50" s="20" t="s">
        <v>116</v>
      </c>
      <c r="Y50" s="20" t="s">
        <v>116</v>
      </c>
    </row>
    <row r="51" spans="1:25" x14ac:dyDescent="0.25">
      <c r="A51" s="20" t="s">
        <v>255</v>
      </c>
      <c r="B51" s="6">
        <f>[1]Sheet3!$F$9</f>
        <v>2.0190046678402069</v>
      </c>
      <c r="C51" s="6">
        <f>[1]Sheet3!$F$4</f>
        <v>4.8089363873716948</v>
      </c>
      <c r="D51" s="6">
        <f>[1]Sheet3!$F$7</f>
        <v>34.357959906292898</v>
      </c>
      <c r="E51" s="6">
        <f>[1]Sheet3!$F$7</f>
        <v>34.357959906292898</v>
      </c>
      <c r="F51" s="6">
        <f>[1]Sheet3!$F$6</f>
        <v>26.429602435675921</v>
      </c>
      <c r="G51" s="6">
        <f>[1]Sheet3!$F$12</f>
        <v>0.85606088618099418</v>
      </c>
      <c r="H51" s="6">
        <f>[1]Sheet3!$F$8</f>
        <v>3.3834230952380957</v>
      </c>
      <c r="I51" s="6">
        <f>[1]Sheet3!$F$5</f>
        <v>3.6373688371466542</v>
      </c>
      <c r="J51" s="6">
        <f>[1]Sheet3!$F$10</f>
        <v>1.496300212946621E-2</v>
      </c>
      <c r="K51" s="6">
        <f>[1]Sheet3!$F$13</f>
        <v>8.1808722813740617E-2</v>
      </c>
      <c r="L51" s="6">
        <f>[1]Sheet3!$F$15</f>
        <v>0.14842142332365665</v>
      </c>
      <c r="M51" s="6">
        <f>[1]Sheet3!$F$16</f>
        <v>2.6566246889867919</v>
      </c>
      <c r="N51"/>
      <c r="O51" s="6">
        <f>[1]Sheet3!$F$17</f>
        <v>0.94010418616306357</v>
      </c>
      <c r="P51" s="6">
        <f>[1]Sheet3!$F$14</f>
        <v>95.447859659285413</v>
      </c>
      <c r="Q51" s="6">
        <f>[1]Sheet3!$F$11</f>
        <v>1.7456835817710577E-2</v>
      </c>
      <c r="R51"/>
      <c r="S51" s="6">
        <f>[1]Sheet3!$F$11</f>
        <v>1.7456835817710577E-2</v>
      </c>
      <c r="T51"/>
      <c r="U51" s="6">
        <f>[1]Sheet3!$F$20</f>
        <v>2.5453899682805297</v>
      </c>
      <c r="V51" s="6">
        <f>[1]Sheet3!$F$19</f>
        <v>9.568514795844546E-2</v>
      </c>
      <c r="W51" s="6">
        <f>[1]Sheet3!$F$18</f>
        <v>2.7141500472479669E-2</v>
      </c>
      <c r="X51" s="6">
        <f>[1]Sheet3!$F$21</f>
        <v>0.11711345408399612</v>
      </c>
    </row>
  </sheetData>
  <conditionalFormatting sqref="B45:Y4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U35" r:id="rId1"/>
    <hyperlink ref="C42" r:id="rId2"/>
    <hyperlink ref="B42" r:id="rId3"/>
    <hyperlink ref="I42" r:id="rId4"/>
    <hyperlink ref="O42" r:id="rId5"/>
    <hyperlink ref="J42" r:id="rId6"/>
    <hyperlink ref="E42" r:id="rId7"/>
    <hyperlink ref="M42" r:id="rId8"/>
    <hyperlink ref="F42" r:id="rId9"/>
    <hyperlink ref="C43" r:id="rId10"/>
    <hyperlink ref="Y42" r:id="rId11"/>
  </hyperlinks>
  <pageMargins left="0.25" right="0.25" top="0.75" bottom="0.75" header="0.3" footer="0.3"/>
  <pageSetup scale="36" orientation="landscape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10" sqref="P10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232</v>
      </c>
      <c r="B1" s="30" t="s">
        <v>219</v>
      </c>
      <c r="P1" t="s">
        <v>222</v>
      </c>
      <c r="Q1" t="s">
        <v>223</v>
      </c>
    </row>
    <row r="2" spans="1:20" x14ac:dyDescent="0.25">
      <c r="A2">
        <v>-3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f>A$2+B3*($A$12-$A$2)</f>
        <v>-1</v>
      </c>
      <c r="B3">
        <v>0.2</v>
      </c>
      <c r="P3" s="28">
        <f t="shared" ref="P3:P12" si="0">(1-EXP($B$14*(A3-MIN($A$2:$A$12))^$B$15))/$B$16</f>
        <v>0.20000000777156157</v>
      </c>
      <c r="Q3" s="28">
        <f t="shared" ref="Q3:Q12" si="1">(P3-B3)^2</f>
        <v>6.039716909570017E-17</v>
      </c>
      <c r="S3" t="s">
        <v>225</v>
      </c>
      <c r="T3" t="s">
        <v>226</v>
      </c>
    </row>
    <row r="4" spans="1:20" x14ac:dyDescent="0.25">
      <c r="A4">
        <f t="shared" ref="A4:A11" si="2">A$2+B4*($A$12-$A$2)</f>
        <v>1</v>
      </c>
      <c r="B4">
        <v>0.4</v>
      </c>
      <c r="P4" s="28">
        <f t="shared" si="0"/>
        <v>0.4000000122124539</v>
      </c>
      <c r="Q4" s="28">
        <f t="shared" si="1"/>
        <v>1.491440298077494E-16</v>
      </c>
      <c r="S4">
        <f>MIN(A2:A12)</f>
        <v>-3</v>
      </c>
      <c r="T4">
        <f>IF(S4&lt;=MIN($A$2:$A$12),0,IF(S4&gt;=MAX($A$2:$A$12),1,(1/$B$16)*(1-EXP($B$14*(S4-MIN($A$2:$A$12))^$B$15))))</f>
        <v>0</v>
      </c>
    </row>
    <row r="5" spans="1:20" x14ac:dyDescent="0.25">
      <c r="A5">
        <f t="shared" si="2"/>
        <v>2</v>
      </c>
      <c r="B5">
        <v>0.5</v>
      </c>
      <c r="P5" s="28">
        <f t="shared" si="0"/>
        <v>0.50000001221245394</v>
      </c>
      <c r="Q5" s="28">
        <f t="shared" si="1"/>
        <v>1.4914403116360416E-16</v>
      </c>
      <c r="S5">
        <f>S4+(MAX($A$2:$A$12)-$S$4)/50</f>
        <v>-2.8</v>
      </c>
      <c r="T5">
        <f t="shared" ref="T5:T68" si="3">IF(S5&lt;=MIN($A$2:$A$12),0,IF(S5&gt;=MAX($A$2:$A$12),1,(1/$B$16)*(1-EXP($B$14*(S5-MIN($A$2:$A$12))^$B$15))))</f>
        <v>2.0000000444089235E-2</v>
      </c>
    </row>
    <row r="6" spans="1:20" x14ac:dyDescent="0.25">
      <c r="A6">
        <f t="shared" si="2"/>
        <v>3</v>
      </c>
      <c r="B6">
        <v>0.6</v>
      </c>
      <c r="P6" s="28">
        <f t="shared" si="0"/>
        <v>0.60000001221245391</v>
      </c>
      <c r="Q6" s="28">
        <f t="shared" si="1"/>
        <v>1.4914403116360416E-16</v>
      </c>
      <c r="S6">
        <f t="shared" ref="S6:S69" si="4">S5+(MAX($A$2:$A$12)-$S$4)/50</f>
        <v>-2.5999999999999996</v>
      </c>
      <c r="T6">
        <f t="shared" si="3"/>
        <v>4.0000001998401549E-2</v>
      </c>
    </row>
    <row r="7" spans="1:20" x14ac:dyDescent="0.25">
      <c r="A7">
        <f t="shared" si="2"/>
        <v>4</v>
      </c>
      <c r="B7">
        <v>0.7</v>
      </c>
      <c r="P7" s="28">
        <f t="shared" si="0"/>
        <v>0.70000001110223076</v>
      </c>
      <c r="Q7" s="28">
        <f t="shared" si="1"/>
        <v>1.2325952876673503E-16</v>
      </c>
      <c r="S7">
        <f t="shared" si="4"/>
        <v>-2.3999999999999995</v>
      </c>
      <c r="T7">
        <f t="shared" si="3"/>
        <v>6.0000002442490784E-2</v>
      </c>
    </row>
    <row r="8" spans="1:20" x14ac:dyDescent="0.25">
      <c r="A8">
        <f t="shared" si="2"/>
        <v>5</v>
      </c>
      <c r="B8">
        <v>0.8</v>
      </c>
      <c r="P8" s="28">
        <f t="shared" si="0"/>
        <v>0.80000000888178469</v>
      </c>
      <c r="Q8" s="28">
        <f t="shared" si="1"/>
        <v>7.888609841071043E-17</v>
      </c>
      <c r="S8">
        <f t="shared" si="4"/>
        <v>-2.1999999999999993</v>
      </c>
      <c r="T8">
        <f t="shared" si="3"/>
        <v>8.0000003996803098E-2</v>
      </c>
    </row>
    <row r="9" spans="1:20" x14ac:dyDescent="0.25">
      <c r="A9">
        <f t="shared" si="2"/>
        <v>5.5</v>
      </c>
      <c r="B9">
        <v>0.85</v>
      </c>
      <c r="P9" s="28">
        <f t="shared" si="0"/>
        <v>0.85000000666133846</v>
      </c>
      <c r="Q9" s="28">
        <f t="shared" si="1"/>
        <v>4.4373430356024617E-17</v>
      </c>
      <c r="S9">
        <f t="shared" si="4"/>
        <v>-1.9999999999999993</v>
      </c>
      <c r="T9">
        <f t="shared" si="3"/>
        <v>0.10000000444089233</v>
      </c>
    </row>
    <row r="10" spans="1:20" x14ac:dyDescent="0.25">
      <c r="A10">
        <f t="shared" si="2"/>
        <v>6</v>
      </c>
      <c r="B10">
        <v>0.9</v>
      </c>
      <c r="P10" s="28">
        <f t="shared" si="0"/>
        <v>0.90000000444089234</v>
      </c>
      <c r="Q10" s="28">
        <f t="shared" si="1"/>
        <v>1.9721524602677607E-17</v>
      </c>
      <c r="S10">
        <f t="shared" si="4"/>
        <v>-1.7999999999999994</v>
      </c>
      <c r="T10">
        <f t="shared" si="3"/>
        <v>0.12000000488498157</v>
      </c>
    </row>
    <row r="11" spans="1:20" x14ac:dyDescent="0.25">
      <c r="A11">
        <f t="shared" si="2"/>
        <v>6.5</v>
      </c>
      <c r="B11">
        <v>0.95</v>
      </c>
      <c r="P11" s="28">
        <f t="shared" si="0"/>
        <v>0.95000000333066925</v>
      </c>
      <c r="Q11" s="28">
        <f t="shared" si="1"/>
        <v>1.1093357958784725E-17</v>
      </c>
      <c r="S11">
        <f t="shared" si="4"/>
        <v>-1.5999999999999994</v>
      </c>
      <c r="T11">
        <f t="shared" si="3"/>
        <v>0.14000000643929389</v>
      </c>
    </row>
    <row r="12" spans="1:20" x14ac:dyDescent="0.25">
      <c r="A12">
        <v>7</v>
      </c>
      <c r="B12">
        <v>1</v>
      </c>
      <c r="P12" s="28">
        <f t="shared" si="0"/>
        <v>1</v>
      </c>
      <c r="Q12" s="28">
        <f t="shared" si="1"/>
        <v>0</v>
      </c>
      <c r="S12">
        <f t="shared" si="4"/>
        <v>-1.3999999999999995</v>
      </c>
      <c r="T12">
        <f t="shared" si="3"/>
        <v>0.16000000688338312</v>
      </c>
    </row>
    <row r="13" spans="1:20" x14ac:dyDescent="0.25">
      <c r="S13">
        <f t="shared" si="4"/>
        <v>-1.1999999999999995</v>
      </c>
      <c r="T13">
        <f t="shared" si="3"/>
        <v>0.18000000732747234</v>
      </c>
    </row>
    <row r="14" spans="1:20" x14ac:dyDescent="0.25">
      <c r="A14" t="s">
        <v>220</v>
      </c>
      <c r="B14" s="29">
        <v>-1E-8</v>
      </c>
      <c r="O14" t="s">
        <v>224</v>
      </c>
      <c r="Q14" s="28">
        <f>SUM(Q2:Q12)</f>
        <v>7.8516320132559017E-16</v>
      </c>
      <c r="S14">
        <f t="shared" si="4"/>
        <v>-0.99999999999999956</v>
      </c>
      <c r="T14">
        <f t="shared" si="3"/>
        <v>0.20000000777156157</v>
      </c>
    </row>
    <row r="15" spans="1:20" x14ac:dyDescent="0.25">
      <c r="A15" t="s">
        <v>228</v>
      </c>
      <c r="B15" s="28">
        <v>1</v>
      </c>
      <c r="S15">
        <f t="shared" si="4"/>
        <v>-0.7999999999999996</v>
      </c>
      <c r="T15">
        <f t="shared" si="3"/>
        <v>0.2200000082156508</v>
      </c>
    </row>
    <row r="16" spans="1:20" x14ac:dyDescent="0.25">
      <c r="A16" t="s">
        <v>221</v>
      </c>
      <c r="B16" s="28">
        <f>1-EXP($B$14*(MAX($A$2:$A$12)-MIN($A$2:$A$12))^$B$15)</f>
        <v>9.9999994951360804E-8</v>
      </c>
      <c r="S16">
        <f t="shared" si="4"/>
        <v>-0.59999999999999964</v>
      </c>
      <c r="T16">
        <f t="shared" si="3"/>
        <v>0.24000000976996314</v>
      </c>
    </row>
    <row r="17" spans="19:20" x14ac:dyDescent="0.25">
      <c r="S17">
        <f t="shared" si="4"/>
        <v>-0.39999999999999963</v>
      </c>
      <c r="T17">
        <f t="shared" si="3"/>
        <v>0.26000001021405234</v>
      </c>
    </row>
    <row r="18" spans="19:20" x14ac:dyDescent="0.25">
      <c r="S18">
        <f t="shared" si="4"/>
        <v>-0.19999999999999962</v>
      </c>
      <c r="T18">
        <f t="shared" si="3"/>
        <v>0.28000001065814162</v>
      </c>
    </row>
    <row r="19" spans="19:20" x14ac:dyDescent="0.25">
      <c r="S19">
        <f t="shared" si="4"/>
        <v>3.8857805861880479E-16</v>
      </c>
      <c r="T19">
        <f t="shared" si="3"/>
        <v>0.30000001110223085</v>
      </c>
    </row>
    <row r="20" spans="19:20" x14ac:dyDescent="0.25">
      <c r="S20">
        <f t="shared" si="4"/>
        <v>0.2000000000000004</v>
      </c>
      <c r="T20">
        <f t="shared" si="3"/>
        <v>0.32000001154632007</v>
      </c>
    </row>
    <row r="21" spans="19:20" x14ac:dyDescent="0.25">
      <c r="S21">
        <f t="shared" si="4"/>
        <v>0.40000000000000041</v>
      </c>
      <c r="T21">
        <f t="shared" si="3"/>
        <v>0.34000001088018622</v>
      </c>
    </row>
    <row r="22" spans="19:20" x14ac:dyDescent="0.25">
      <c r="S22">
        <f t="shared" si="4"/>
        <v>0.60000000000000042</v>
      </c>
      <c r="T22">
        <f t="shared" si="3"/>
        <v>0.36000001132427545</v>
      </c>
    </row>
    <row r="23" spans="19:20" x14ac:dyDescent="0.25">
      <c r="S23">
        <f t="shared" si="4"/>
        <v>0.80000000000000049</v>
      </c>
      <c r="T23">
        <f t="shared" si="3"/>
        <v>0.38000001176836468</v>
      </c>
    </row>
    <row r="24" spans="19:20" x14ac:dyDescent="0.25">
      <c r="S24">
        <f t="shared" si="4"/>
        <v>1.0000000000000004</v>
      </c>
      <c r="T24">
        <f t="shared" si="3"/>
        <v>0.4000000122124539</v>
      </c>
    </row>
    <row r="25" spans="19:20" x14ac:dyDescent="0.25">
      <c r="S25">
        <f t="shared" si="4"/>
        <v>1.2000000000000004</v>
      </c>
      <c r="T25">
        <f t="shared" si="3"/>
        <v>0.42000001265654313</v>
      </c>
    </row>
    <row r="26" spans="19:20" x14ac:dyDescent="0.25">
      <c r="S26">
        <f t="shared" si="4"/>
        <v>1.4000000000000004</v>
      </c>
      <c r="T26">
        <f t="shared" si="3"/>
        <v>0.44000001199040928</v>
      </c>
    </row>
    <row r="27" spans="19:20" x14ac:dyDescent="0.25">
      <c r="S27">
        <f t="shared" si="4"/>
        <v>1.6000000000000003</v>
      </c>
      <c r="T27">
        <f t="shared" si="3"/>
        <v>0.46000001243449856</v>
      </c>
    </row>
    <row r="28" spans="19:20" x14ac:dyDescent="0.25">
      <c r="S28">
        <f t="shared" si="4"/>
        <v>1.8000000000000003</v>
      </c>
      <c r="T28">
        <f t="shared" si="3"/>
        <v>0.48000001287858779</v>
      </c>
    </row>
    <row r="29" spans="19:20" x14ac:dyDescent="0.25">
      <c r="S29">
        <f t="shared" si="4"/>
        <v>2.0000000000000004</v>
      </c>
      <c r="T29">
        <f t="shared" si="3"/>
        <v>0.50000001221245394</v>
      </c>
    </row>
    <row r="30" spans="19:20" x14ac:dyDescent="0.25">
      <c r="S30">
        <f t="shared" si="4"/>
        <v>2.2000000000000006</v>
      </c>
      <c r="T30">
        <f t="shared" si="3"/>
        <v>0.52000001265654316</v>
      </c>
    </row>
    <row r="31" spans="19:20" x14ac:dyDescent="0.25">
      <c r="S31">
        <f t="shared" si="4"/>
        <v>2.4000000000000008</v>
      </c>
      <c r="T31">
        <f t="shared" si="3"/>
        <v>0.54000001310063239</v>
      </c>
    </row>
    <row r="32" spans="19:20" x14ac:dyDescent="0.25">
      <c r="S32">
        <f t="shared" si="4"/>
        <v>2.600000000000001</v>
      </c>
      <c r="T32">
        <f t="shared" si="3"/>
        <v>0.5600000124344986</v>
      </c>
    </row>
    <row r="33" spans="19:20" x14ac:dyDescent="0.25">
      <c r="S33">
        <f t="shared" si="4"/>
        <v>2.8000000000000012</v>
      </c>
      <c r="T33">
        <f t="shared" si="3"/>
        <v>0.58000001287858782</v>
      </c>
    </row>
    <row r="34" spans="19:20" x14ac:dyDescent="0.25">
      <c r="S34">
        <f t="shared" si="4"/>
        <v>3.0000000000000013</v>
      </c>
      <c r="T34">
        <f t="shared" si="3"/>
        <v>0.60000001221245391</v>
      </c>
    </row>
    <row r="35" spans="19:20" x14ac:dyDescent="0.25">
      <c r="S35">
        <f t="shared" si="4"/>
        <v>3.2000000000000015</v>
      </c>
      <c r="T35">
        <f t="shared" si="3"/>
        <v>0.62000001154632012</v>
      </c>
    </row>
    <row r="36" spans="19:20" x14ac:dyDescent="0.25">
      <c r="S36">
        <f t="shared" si="4"/>
        <v>3.4000000000000017</v>
      </c>
      <c r="T36">
        <f t="shared" si="3"/>
        <v>0.64000001199040935</v>
      </c>
    </row>
    <row r="37" spans="19:20" x14ac:dyDescent="0.25">
      <c r="S37">
        <f t="shared" si="4"/>
        <v>3.6000000000000019</v>
      </c>
      <c r="T37">
        <f t="shared" si="3"/>
        <v>0.66000001132427544</v>
      </c>
    </row>
    <row r="38" spans="19:20" x14ac:dyDescent="0.25">
      <c r="S38">
        <f t="shared" si="4"/>
        <v>3.800000000000002</v>
      </c>
      <c r="T38">
        <f t="shared" si="3"/>
        <v>0.68000001065814164</v>
      </c>
    </row>
    <row r="39" spans="19:20" x14ac:dyDescent="0.25">
      <c r="S39">
        <f t="shared" si="4"/>
        <v>4.0000000000000018</v>
      </c>
      <c r="T39">
        <f t="shared" si="3"/>
        <v>0.70000001110223087</v>
      </c>
    </row>
    <row r="40" spans="19:20" x14ac:dyDescent="0.25">
      <c r="S40">
        <f t="shared" si="4"/>
        <v>4.200000000000002</v>
      </c>
      <c r="T40">
        <f t="shared" si="3"/>
        <v>0.72000001043609696</v>
      </c>
    </row>
    <row r="41" spans="19:20" x14ac:dyDescent="0.25">
      <c r="S41">
        <f t="shared" si="4"/>
        <v>4.4000000000000021</v>
      </c>
      <c r="T41">
        <f t="shared" si="3"/>
        <v>0.74000000976996316</v>
      </c>
    </row>
    <row r="42" spans="19:20" x14ac:dyDescent="0.25">
      <c r="S42">
        <f t="shared" si="4"/>
        <v>4.6000000000000023</v>
      </c>
      <c r="T42">
        <f t="shared" si="3"/>
        <v>0.76000000910382937</v>
      </c>
    </row>
    <row r="43" spans="19:20" x14ac:dyDescent="0.25">
      <c r="S43">
        <f t="shared" si="4"/>
        <v>4.8000000000000025</v>
      </c>
      <c r="T43">
        <f t="shared" si="3"/>
        <v>0.78000000843769546</v>
      </c>
    </row>
    <row r="44" spans="19:20" x14ac:dyDescent="0.25">
      <c r="S44">
        <f t="shared" si="4"/>
        <v>5.0000000000000027</v>
      </c>
      <c r="T44">
        <f t="shared" si="3"/>
        <v>0.80000000888178469</v>
      </c>
    </row>
    <row r="45" spans="19:20" x14ac:dyDescent="0.25">
      <c r="S45">
        <f t="shared" si="4"/>
        <v>5.2000000000000028</v>
      </c>
      <c r="T45">
        <f t="shared" si="3"/>
        <v>0.82000000821565089</v>
      </c>
    </row>
    <row r="46" spans="19:20" x14ac:dyDescent="0.25">
      <c r="S46">
        <f t="shared" si="4"/>
        <v>5.400000000000003</v>
      </c>
      <c r="T46">
        <f t="shared" si="3"/>
        <v>0.84000000754951698</v>
      </c>
    </row>
    <row r="47" spans="19:20" x14ac:dyDescent="0.25">
      <c r="S47">
        <f t="shared" si="4"/>
        <v>5.6000000000000032</v>
      </c>
      <c r="T47">
        <f t="shared" si="3"/>
        <v>0.86000000688338318</v>
      </c>
    </row>
    <row r="48" spans="19:20" x14ac:dyDescent="0.25">
      <c r="S48">
        <f t="shared" si="4"/>
        <v>5.8000000000000034</v>
      </c>
      <c r="T48">
        <f t="shared" si="3"/>
        <v>0.88000000621724928</v>
      </c>
    </row>
    <row r="49" spans="19:20" x14ac:dyDescent="0.25">
      <c r="S49">
        <f t="shared" si="4"/>
        <v>6.0000000000000036</v>
      </c>
      <c r="T49">
        <f t="shared" si="3"/>
        <v>0.90000000444089234</v>
      </c>
    </row>
    <row r="50" spans="19:20" x14ac:dyDescent="0.25">
      <c r="S50">
        <f t="shared" si="4"/>
        <v>6.2000000000000037</v>
      </c>
      <c r="T50">
        <f t="shared" si="3"/>
        <v>0.92000000377475855</v>
      </c>
    </row>
    <row r="51" spans="19:20" x14ac:dyDescent="0.25">
      <c r="S51">
        <f t="shared" si="4"/>
        <v>6.4000000000000039</v>
      </c>
      <c r="T51">
        <f t="shared" si="3"/>
        <v>0.94000000310862475</v>
      </c>
    </row>
    <row r="52" spans="19:20" x14ac:dyDescent="0.25">
      <c r="S52">
        <f t="shared" si="4"/>
        <v>6.6000000000000041</v>
      </c>
      <c r="T52">
        <f t="shared" si="3"/>
        <v>0.96000000244249084</v>
      </c>
    </row>
    <row r="53" spans="19:20" x14ac:dyDescent="0.25">
      <c r="S53">
        <f t="shared" si="4"/>
        <v>6.8000000000000043</v>
      </c>
      <c r="T53">
        <f t="shared" si="3"/>
        <v>0.98000000177635704</v>
      </c>
    </row>
    <row r="54" spans="19:20" x14ac:dyDescent="0.25">
      <c r="S54">
        <f t="shared" si="4"/>
        <v>7.0000000000000044</v>
      </c>
      <c r="T54">
        <f t="shared" si="3"/>
        <v>1</v>
      </c>
    </row>
    <row r="55" spans="19:20" x14ac:dyDescent="0.25">
      <c r="S55">
        <f t="shared" si="4"/>
        <v>7.2000000000000046</v>
      </c>
      <c r="T55">
        <f t="shared" si="3"/>
        <v>1</v>
      </c>
    </row>
    <row r="56" spans="19:20" x14ac:dyDescent="0.25">
      <c r="S56">
        <f t="shared" si="4"/>
        <v>7.4000000000000048</v>
      </c>
      <c r="T56">
        <f t="shared" si="3"/>
        <v>1</v>
      </c>
    </row>
    <row r="57" spans="19:20" x14ac:dyDescent="0.25">
      <c r="S57">
        <f t="shared" si="4"/>
        <v>7.600000000000005</v>
      </c>
      <c r="T57">
        <f t="shared" si="3"/>
        <v>1</v>
      </c>
    </row>
    <row r="58" spans="19:20" x14ac:dyDescent="0.25">
      <c r="S58">
        <f t="shared" si="4"/>
        <v>7.8000000000000052</v>
      </c>
      <c r="T58">
        <f t="shared" si="3"/>
        <v>1</v>
      </c>
    </row>
    <row r="59" spans="19:20" x14ac:dyDescent="0.25">
      <c r="S59">
        <f t="shared" si="4"/>
        <v>8.0000000000000053</v>
      </c>
      <c r="T59">
        <f t="shared" si="3"/>
        <v>1</v>
      </c>
    </row>
    <row r="60" spans="19:20" x14ac:dyDescent="0.25">
      <c r="S60">
        <f t="shared" si="4"/>
        <v>8.2000000000000046</v>
      </c>
      <c r="T60">
        <f t="shared" si="3"/>
        <v>1</v>
      </c>
    </row>
    <row r="61" spans="19:20" x14ac:dyDescent="0.25">
      <c r="S61">
        <f t="shared" si="4"/>
        <v>8.4000000000000039</v>
      </c>
      <c r="T61">
        <f t="shared" si="3"/>
        <v>1</v>
      </c>
    </row>
    <row r="62" spans="19:20" x14ac:dyDescent="0.25">
      <c r="S62">
        <f t="shared" si="4"/>
        <v>8.6000000000000032</v>
      </c>
      <c r="T62">
        <f t="shared" si="3"/>
        <v>1</v>
      </c>
    </row>
    <row r="63" spans="19:20" x14ac:dyDescent="0.25">
      <c r="S63">
        <f t="shared" si="4"/>
        <v>8.8000000000000025</v>
      </c>
      <c r="T63">
        <f t="shared" si="3"/>
        <v>1</v>
      </c>
    </row>
    <row r="64" spans="19:20" x14ac:dyDescent="0.25">
      <c r="S64">
        <f t="shared" si="4"/>
        <v>9.0000000000000018</v>
      </c>
      <c r="T64">
        <f t="shared" si="3"/>
        <v>1</v>
      </c>
    </row>
    <row r="65" spans="19:20" x14ac:dyDescent="0.25">
      <c r="S65">
        <f t="shared" si="4"/>
        <v>9.2000000000000011</v>
      </c>
      <c r="T65">
        <f t="shared" si="3"/>
        <v>1</v>
      </c>
    </row>
    <row r="66" spans="19:20" x14ac:dyDescent="0.25">
      <c r="S66">
        <f t="shared" si="4"/>
        <v>9.4</v>
      </c>
      <c r="T66">
        <f t="shared" si="3"/>
        <v>1</v>
      </c>
    </row>
    <row r="67" spans="19:20" x14ac:dyDescent="0.25">
      <c r="S67">
        <f t="shared" si="4"/>
        <v>9.6</v>
      </c>
      <c r="T67">
        <f t="shared" si="3"/>
        <v>1</v>
      </c>
    </row>
    <row r="68" spans="19:20" x14ac:dyDescent="0.25">
      <c r="S68">
        <f t="shared" si="4"/>
        <v>9.7999999999999989</v>
      </c>
      <c r="T68">
        <f t="shared" si="3"/>
        <v>1</v>
      </c>
    </row>
    <row r="69" spans="19:20" x14ac:dyDescent="0.25">
      <c r="S69">
        <f t="shared" si="4"/>
        <v>9.9999999999999982</v>
      </c>
      <c r="T69">
        <f t="shared" ref="T69:T105" si="5">IF(S69&lt;=MIN($A$2:$A$12),0,IF(S69&gt;=MAX($A$2:$A$12),1,(1/$B$16)*(1-EXP($B$14*(S69-MIN($A$2:$A$12))^$B$15))))</f>
        <v>1</v>
      </c>
    </row>
    <row r="70" spans="19:20" x14ac:dyDescent="0.25">
      <c r="S70">
        <f t="shared" ref="S70:S105" si="6">S69+(MAX($A$2:$A$12)-$S$4)/50</f>
        <v>10.199999999999998</v>
      </c>
      <c r="T70">
        <f t="shared" si="5"/>
        <v>1</v>
      </c>
    </row>
    <row r="71" spans="19:20" x14ac:dyDescent="0.25">
      <c r="S71">
        <f t="shared" si="6"/>
        <v>10.399999999999997</v>
      </c>
      <c r="T71">
        <f t="shared" si="5"/>
        <v>1</v>
      </c>
    </row>
    <row r="72" spans="19:20" x14ac:dyDescent="0.25">
      <c r="S72">
        <f t="shared" si="6"/>
        <v>10.599999999999996</v>
      </c>
      <c r="T72">
        <f t="shared" si="5"/>
        <v>1</v>
      </c>
    </row>
    <row r="73" spans="19:20" x14ac:dyDescent="0.25">
      <c r="S73">
        <f t="shared" si="6"/>
        <v>10.799999999999995</v>
      </c>
      <c r="T73">
        <f t="shared" si="5"/>
        <v>1</v>
      </c>
    </row>
    <row r="74" spans="19:20" x14ac:dyDescent="0.25">
      <c r="S74">
        <f t="shared" si="6"/>
        <v>10.999999999999995</v>
      </c>
      <c r="T74">
        <f t="shared" si="5"/>
        <v>1</v>
      </c>
    </row>
    <row r="75" spans="19:20" x14ac:dyDescent="0.25">
      <c r="S75">
        <f t="shared" si="6"/>
        <v>11.199999999999994</v>
      </c>
      <c r="T75">
        <f t="shared" si="5"/>
        <v>1</v>
      </c>
    </row>
    <row r="76" spans="19:20" x14ac:dyDescent="0.25">
      <c r="S76">
        <f t="shared" si="6"/>
        <v>11.399999999999993</v>
      </c>
      <c r="T76">
        <f t="shared" si="5"/>
        <v>1</v>
      </c>
    </row>
    <row r="77" spans="19:20" x14ac:dyDescent="0.25">
      <c r="S77">
        <f t="shared" si="6"/>
        <v>11.599999999999993</v>
      </c>
      <c r="T77">
        <f t="shared" si="5"/>
        <v>1</v>
      </c>
    </row>
    <row r="78" spans="19:20" x14ac:dyDescent="0.25">
      <c r="S78">
        <f t="shared" si="6"/>
        <v>11.799999999999992</v>
      </c>
      <c r="T78">
        <f t="shared" si="5"/>
        <v>1</v>
      </c>
    </row>
    <row r="79" spans="19:20" x14ac:dyDescent="0.25">
      <c r="S79">
        <f t="shared" si="6"/>
        <v>11.999999999999991</v>
      </c>
      <c r="T79">
        <f t="shared" si="5"/>
        <v>1</v>
      </c>
    </row>
    <row r="80" spans="19:20" x14ac:dyDescent="0.25">
      <c r="S80">
        <f t="shared" si="6"/>
        <v>12.19999999999999</v>
      </c>
      <c r="T80">
        <f t="shared" si="5"/>
        <v>1</v>
      </c>
    </row>
    <row r="81" spans="19:20" x14ac:dyDescent="0.25">
      <c r="S81">
        <f t="shared" si="6"/>
        <v>12.39999999999999</v>
      </c>
      <c r="T81">
        <f t="shared" si="5"/>
        <v>1</v>
      </c>
    </row>
    <row r="82" spans="19:20" x14ac:dyDescent="0.25">
      <c r="S82">
        <f t="shared" si="6"/>
        <v>12.599999999999989</v>
      </c>
      <c r="T82">
        <f t="shared" si="5"/>
        <v>1</v>
      </c>
    </row>
    <row r="83" spans="19:20" x14ac:dyDescent="0.25">
      <c r="S83">
        <f t="shared" si="6"/>
        <v>12.799999999999988</v>
      </c>
      <c r="T83">
        <f t="shared" si="5"/>
        <v>1</v>
      </c>
    </row>
    <row r="84" spans="19:20" x14ac:dyDescent="0.25">
      <c r="S84">
        <f t="shared" si="6"/>
        <v>12.999999999999988</v>
      </c>
      <c r="T84">
        <f t="shared" si="5"/>
        <v>1</v>
      </c>
    </row>
    <row r="85" spans="19:20" x14ac:dyDescent="0.25">
      <c r="S85">
        <f t="shared" si="6"/>
        <v>13.199999999999987</v>
      </c>
      <c r="T85">
        <f t="shared" si="5"/>
        <v>1</v>
      </c>
    </row>
    <row r="86" spans="19:20" x14ac:dyDescent="0.25">
      <c r="S86">
        <f t="shared" si="6"/>
        <v>13.399999999999986</v>
      </c>
      <c r="T86">
        <f t="shared" si="5"/>
        <v>1</v>
      </c>
    </row>
    <row r="87" spans="19:20" x14ac:dyDescent="0.25">
      <c r="S87">
        <f t="shared" si="6"/>
        <v>13.599999999999985</v>
      </c>
      <c r="T87">
        <f t="shared" si="5"/>
        <v>1</v>
      </c>
    </row>
    <row r="88" spans="19:20" x14ac:dyDescent="0.25">
      <c r="S88">
        <f t="shared" si="6"/>
        <v>13.799999999999985</v>
      </c>
      <c r="T88">
        <f t="shared" si="5"/>
        <v>1</v>
      </c>
    </row>
    <row r="89" spans="19:20" x14ac:dyDescent="0.25">
      <c r="S89">
        <f t="shared" si="6"/>
        <v>13.999999999999984</v>
      </c>
      <c r="T89">
        <f t="shared" si="5"/>
        <v>1</v>
      </c>
    </row>
    <row r="90" spans="19:20" x14ac:dyDescent="0.25">
      <c r="S90">
        <f t="shared" si="6"/>
        <v>14.199999999999983</v>
      </c>
      <c r="T90">
        <f t="shared" si="5"/>
        <v>1</v>
      </c>
    </row>
    <row r="91" spans="19:20" x14ac:dyDescent="0.25">
      <c r="S91">
        <f t="shared" si="6"/>
        <v>14.399999999999983</v>
      </c>
      <c r="T91">
        <f t="shared" si="5"/>
        <v>1</v>
      </c>
    </row>
    <row r="92" spans="19:20" x14ac:dyDescent="0.25">
      <c r="S92">
        <f t="shared" si="6"/>
        <v>14.599999999999982</v>
      </c>
      <c r="T92">
        <f t="shared" si="5"/>
        <v>1</v>
      </c>
    </row>
    <row r="93" spans="19:20" x14ac:dyDescent="0.25">
      <c r="S93">
        <f t="shared" si="6"/>
        <v>14.799999999999981</v>
      </c>
      <c r="T93">
        <f t="shared" si="5"/>
        <v>1</v>
      </c>
    </row>
    <row r="94" spans="19:20" x14ac:dyDescent="0.25">
      <c r="S94">
        <f t="shared" si="6"/>
        <v>14.99999999999998</v>
      </c>
      <c r="T94">
        <f t="shared" si="5"/>
        <v>1</v>
      </c>
    </row>
    <row r="95" spans="19:20" x14ac:dyDescent="0.25">
      <c r="S95">
        <f t="shared" si="6"/>
        <v>15.19999999999998</v>
      </c>
      <c r="T95">
        <f t="shared" si="5"/>
        <v>1</v>
      </c>
    </row>
    <row r="96" spans="19:20" x14ac:dyDescent="0.25">
      <c r="S96">
        <f t="shared" si="6"/>
        <v>15.399999999999979</v>
      </c>
      <c r="T96">
        <f t="shared" si="5"/>
        <v>1</v>
      </c>
    </row>
    <row r="97" spans="19:20" x14ac:dyDescent="0.25">
      <c r="S97">
        <f t="shared" si="6"/>
        <v>15.599999999999978</v>
      </c>
      <c r="T97">
        <f t="shared" si="5"/>
        <v>1</v>
      </c>
    </row>
    <row r="98" spans="19:20" x14ac:dyDescent="0.25">
      <c r="S98">
        <f t="shared" si="6"/>
        <v>15.799999999999978</v>
      </c>
      <c r="T98">
        <f t="shared" si="5"/>
        <v>1</v>
      </c>
    </row>
    <row r="99" spans="19:20" x14ac:dyDescent="0.25">
      <c r="S99">
        <f t="shared" si="6"/>
        <v>15.999999999999977</v>
      </c>
      <c r="T99">
        <f t="shared" si="5"/>
        <v>1</v>
      </c>
    </row>
    <row r="100" spans="19:20" x14ac:dyDescent="0.25">
      <c r="S100">
        <f t="shared" si="6"/>
        <v>16.199999999999978</v>
      </c>
      <c r="T100">
        <f t="shared" si="5"/>
        <v>1</v>
      </c>
    </row>
    <row r="101" spans="19:20" x14ac:dyDescent="0.25">
      <c r="S101">
        <f t="shared" si="6"/>
        <v>16.399999999999977</v>
      </c>
      <c r="T101">
        <f t="shared" si="5"/>
        <v>1</v>
      </c>
    </row>
    <row r="102" spans="19:20" x14ac:dyDescent="0.25">
      <c r="S102">
        <f t="shared" si="6"/>
        <v>16.599999999999977</v>
      </c>
      <c r="T102">
        <f t="shared" si="5"/>
        <v>1</v>
      </c>
    </row>
    <row r="103" spans="19:20" x14ac:dyDescent="0.25">
      <c r="S103">
        <f t="shared" si="6"/>
        <v>16.799999999999976</v>
      </c>
      <c r="T103">
        <f t="shared" si="5"/>
        <v>1</v>
      </c>
    </row>
    <row r="104" spans="19:20" x14ac:dyDescent="0.25">
      <c r="S104">
        <f t="shared" si="6"/>
        <v>16.999999999999975</v>
      </c>
      <c r="T104">
        <f t="shared" si="5"/>
        <v>1</v>
      </c>
    </row>
    <row r="105" spans="19:20" x14ac:dyDescent="0.25">
      <c r="S105">
        <f t="shared" si="6"/>
        <v>17.199999999999974</v>
      </c>
      <c r="T105">
        <f t="shared" si="5"/>
        <v>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18" sqref="B18"/>
    </sheetView>
  </sheetViews>
  <sheetFormatPr defaultRowHeight="15" x14ac:dyDescent="0.25"/>
  <cols>
    <col min="1" max="1" width="17.570312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30" t="s">
        <v>233</v>
      </c>
      <c r="B1" s="30" t="s">
        <v>219</v>
      </c>
    </row>
    <row r="2" spans="1:17" x14ac:dyDescent="0.25">
      <c r="A2" t="s">
        <v>116</v>
      </c>
      <c r="B2">
        <v>0</v>
      </c>
      <c r="P2" s="28"/>
      <c r="Q2" s="28"/>
    </row>
    <row r="3" spans="1:17" x14ac:dyDescent="0.25">
      <c r="A3" t="s">
        <v>123</v>
      </c>
      <c r="B3">
        <v>1</v>
      </c>
      <c r="P3" s="28"/>
      <c r="Q3" s="28"/>
    </row>
    <row r="4" spans="1:17" x14ac:dyDescent="0.25">
      <c r="P4" s="28"/>
      <c r="Q4" s="28"/>
    </row>
    <row r="5" spans="1:17" x14ac:dyDescent="0.25">
      <c r="P5" s="28"/>
      <c r="Q5" s="28"/>
    </row>
    <row r="6" spans="1:17" x14ac:dyDescent="0.25">
      <c r="P6" s="28"/>
      <c r="Q6" s="28"/>
    </row>
    <row r="7" spans="1:17" x14ac:dyDescent="0.25">
      <c r="P7" s="28"/>
      <c r="Q7" s="28"/>
    </row>
    <row r="8" spans="1:17" x14ac:dyDescent="0.25">
      <c r="P8" s="28"/>
      <c r="Q8" s="28"/>
    </row>
    <row r="9" spans="1:17" x14ac:dyDescent="0.25">
      <c r="P9" s="28"/>
      <c r="Q9" s="28"/>
    </row>
    <row r="10" spans="1:17" x14ac:dyDescent="0.25">
      <c r="P10" s="28"/>
      <c r="Q10" s="28"/>
    </row>
    <row r="11" spans="1:17" x14ac:dyDescent="0.25">
      <c r="P11" s="28"/>
      <c r="Q11" s="28"/>
    </row>
    <row r="12" spans="1:17" x14ac:dyDescent="0.25">
      <c r="P12" s="28"/>
      <c r="Q12" s="28"/>
    </row>
    <row r="14" spans="1:17" x14ac:dyDescent="0.25">
      <c r="B14" s="29"/>
      <c r="Q14" s="28"/>
    </row>
    <row r="15" spans="1:17" x14ac:dyDescent="0.25">
      <c r="B15" s="28"/>
    </row>
    <row r="16" spans="1:17" x14ac:dyDescent="0.25">
      <c r="B16" s="2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C10" sqref="C10"/>
    </sheetView>
  </sheetViews>
  <sheetFormatPr defaultRowHeight="15" x14ac:dyDescent="0.25"/>
  <cols>
    <col min="1" max="1" width="31.4257812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30" t="s">
        <v>235</v>
      </c>
      <c r="B1" s="30" t="s">
        <v>219</v>
      </c>
    </row>
    <row r="2" spans="1:17" x14ac:dyDescent="0.25">
      <c r="A2" t="s">
        <v>116</v>
      </c>
      <c r="B2">
        <v>0</v>
      </c>
      <c r="P2" s="28"/>
      <c r="Q2" s="28"/>
    </row>
    <row r="3" spans="1:17" x14ac:dyDescent="0.25">
      <c r="A3" t="s">
        <v>123</v>
      </c>
      <c r="B3">
        <v>1</v>
      </c>
      <c r="P3" s="28"/>
      <c r="Q3" s="28"/>
    </row>
    <row r="4" spans="1:17" x14ac:dyDescent="0.25">
      <c r="P4" s="28"/>
      <c r="Q4" s="28"/>
    </row>
    <row r="5" spans="1:17" x14ac:dyDescent="0.25">
      <c r="P5" s="28"/>
      <c r="Q5" s="28"/>
    </row>
    <row r="6" spans="1:17" x14ac:dyDescent="0.25">
      <c r="P6" s="28"/>
      <c r="Q6" s="28"/>
    </row>
    <row r="7" spans="1:17" x14ac:dyDescent="0.25">
      <c r="P7" s="28"/>
      <c r="Q7" s="28"/>
    </row>
    <row r="8" spans="1:17" x14ac:dyDescent="0.25">
      <c r="P8" s="28"/>
      <c r="Q8" s="28"/>
    </row>
    <row r="9" spans="1:17" x14ac:dyDescent="0.25">
      <c r="P9" s="28"/>
      <c r="Q9" s="28"/>
    </row>
    <row r="10" spans="1:17" x14ac:dyDescent="0.25">
      <c r="P10" s="28"/>
      <c r="Q10" s="28"/>
    </row>
    <row r="11" spans="1:17" x14ac:dyDescent="0.25">
      <c r="P11" s="28"/>
      <c r="Q11" s="28"/>
    </row>
    <row r="12" spans="1:17" x14ac:dyDescent="0.25">
      <c r="P12" s="28"/>
      <c r="Q12" s="28"/>
    </row>
    <row r="14" spans="1:17" x14ac:dyDescent="0.25">
      <c r="B14" s="29"/>
      <c r="Q14" s="28"/>
    </row>
    <row r="15" spans="1:17" x14ac:dyDescent="0.25">
      <c r="B15" s="28"/>
    </row>
    <row r="16" spans="1:17" x14ac:dyDescent="0.25">
      <c r="B16" s="2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4" sqref="B4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30" t="s">
        <v>236</v>
      </c>
      <c r="B1" s="30" t="s">
        <v>219</v>
      </c>
    </row>
    <row r="2" spans="1:17" x14ac:dyDescent="0.25">
      <c r="A2" t="s">
        <v>93</v>
      </c>
      <c r="B2">
        <v>0</v>
      </c>
      <c r="P2" s="28"/>
      <c r="Q2" s="28"/>
    </row>
    <row r="3" spans="1:17" x14ac:dyDescent="0.25">
      <c r="A3" t="s">
        <v>155</v>
      </c>
      <c r="B3">
        <v>0</v>
      </c>
      <c r="P3" s="28"/>
      <c r="Q3" s="28"/>
    </row>
    <row r="4" spans="1:17" x14ac:dyDescent="0.25">
      <c r="A4" t="s">
        <v>92</v>
      </c>
      <c r="B4">
        <v>0.3</v>
      </c>
      <c r="P4" s="28"/>
      <c r="Q4" s="28"/>
    </row>
    <row r="5" spans="1:17" x14ac:dyDescent="0.25">
      <c r="A5" t="s">
        <v>117</v>
      </c>
      <c r="B5">
        <v>0.8</v>
      </c>
      <c r="P5" s="28"/>
      <c r="Q5" s="28"/>
    </row>
    <row r="6" spans="1:17" x14ac:dyDescent="0.25">
      <c r="A6" t="s">
        <v>91</v>
      </c>
      <c r="B6">
        <v>1</v>
      </c>
      <c r="P6" s="28"/>
      <c r="Q6" s="28"/>
    </row>
    <row r="7" spans="1:17" x14ac:dyDescent="0.25">
      <c r="P7" s="28"/>
      <c r="Q7" s="28"/>
    </row>
    <row r="8" spans="1:17" x14ac:dyDescent="0.25">
      <c r="P8" s="28"/>
      <c r="Q8" s="28"/>
    </row>
    <row r="9" spans="1:17" x14ac:dyDescent="0.25">
      <c r="P9" s="28"/>
      <c r="Q9" s="28"/>
    </row>
    <row r="10" spans="1:17" x14ac:dyDescent="0.25">
      <c r="P10" s="28"/>
      <c r="Q10" s="28"/>
    </row>
    <row r="11" spans="1:17" x14ac:dyDescent="0.25">
      <c r="P11" s="28"/>
      <c r="Q11" s="28"/>
    </row>
    <row r="12" spans="1:17" x14ac:dyDescent="0.25">
      <c r="P12" s="28"/>
      <c r="Q12" s="28"/>
    </row>
    <row r="14" spans="1:17" x14ac:dyDescent="0.25">
      <c r="B14" s="29"/>
      <c r="Q14" s="28"/>
    </row>
    <row r="15" spans="1:17" x14ac:dyDescent="0.25">
      <c r="B15" s="28"/>
    </row>
    <row r="16" spans="1:17" x14ac:dyDescent="0.25">
      <c r="B16" s="28"/>
    </row>
  </sheetData>
  <sortState ref="A2:B6">
    <sortCondition ref="B2:B6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D26" sqref="D26"/>
    </sheetView>
  </sheetViews>
  <sheetFormatPr defaultRowHeight="15" x14ac:dyDescent="0.25"/>
  <cols>
    <col min="1" max="1" width="16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30" t="s">
        <v>237</v>
      </c>
      <c r="B1" s="30" t="s">
        <v>219</v>
      </c>
    </row>
    <row r="2" spans="1:17" x14ac:dyDescent="0.25">
      <c r="A2" t="s">
        <v>93</v>
      </c>
      <c r="B2">
        <v>0</v>
      </c>
      <c r="P2" s="28"/>
      <c r="Q2" s="28"/>
    </row>
    <row r="3" spans="1:17" x14ac:dyDescent="0.25">
      <c r="A3" t="s">
        <v>97</v>
      </c>
      <c r="B3">
        <v>0.3</v>
      </c>
      <c r="P3" s="28"/>
      <c r="Q3" s="28"/>
    </row>
    <row r="4" spans="1:17" x14ac:dyDescent="0.25">
      <c r="A4" t="s">
        <v>96</v>
      </c>
      <c r="B4">
        <v>0.6</v>
      </c>
      <c r="P4" s="28"/>
      <c r="Q4" s="28"/>
    </row>
    <row r="5" spans="1:17" x14ac:dyDescent="0.25">
      <c r="A5" t="s">
        <v>95</v>
      </c>
      <c r="B5">
        <v>0.6</v>
      </c>
      <c r="P5" s="28"/>
      <c r="Q5" s="28"/>
    </row>
    <row r="6" spans="1:17" x14ac:dyDescent="0.25">
      <c r="A6" t="s">
        <v>94</v>
      </c>
      <c r="B6">
        <v>0.8</v>
      </c>
      <c r="P6" s="28"/>
      <c r="Q6" s="28"/>
    </row>
    <row r="7" spans="1:17" x14ac:dyDescent="0.25">
      <c r="A7" t="s">
        <v>122</v>
      </c>
      <c r="B7">
        <v>0.9</v>
      </c>
      <c r="P7" s="28"/>
      <c r="Q7" s="28"/>
    </row>
    <row r="8" spans="1:17" x14ac:dyDescent="0.25">
      <c r="A8" t="s">
        <v>91</v>
      </c>
      <c r="B8">
        <v>1</v>
      </c>
      <c r="P8" s="28"/>
      <c r="Q8" s="28"/>
    </row>
    <row r="9" spans="1:17" x14ac:dyDescent="0.25">
      <c r="P9" s="28"/>
      <c r="Q9" s="28"/>
    </row>
    <row r="10" spans="1:17" x14ac:dyDescent="0.25">
      <c r="P10" s="28"/>
      <c r="Q10" s="28"/>
    </row>
    <row r="11" spans="1:17" x14ac:dyDescent="0.25">
      <c r="P11" s="28"/>
      <c r="Q11" s="28"/>
    </row>
    <row r="12" spans="1:17" x14ac:dyDescent="0.25">
      <c r="P12" s="28"/>
      <c r="Q12" s="28"/>
    </row>
    <row r="14" spans="1:17" x14ac:dyDescent="0.25">
      <c r="B14" s="29"/>
      <c r="Q14" s="28"/>
    </row>
    <row r="15" spans="1:17" x14ac:dyDescent="0.25">
      <c r="B15" s="28"/>
    </row>
    <row r="16" spans="1:17" x14ac:dyDescent="0.25">
      <c r="B16" s="28"/>
    </row>
  </sheetData>
  <sortState ref="A2:B8">
    <sortCondition ref="B2:B8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11" sqref="D11"/>
    </sheetView>
  </sheetViews>
  <sheetFormatPr defaultRowHeight="15" x14ac:dyDescent="0.25"/>
  <cols>
    <col min="1" max="1" width="24.7109375" bestFit="1" customWidth="1"/>
    <col min="2" max="2" width="17.42578125" customWidth="1"/>
    <col min="3" max="3" width="13.42578125" customWidth="1"/>
    <col min="4" max="4" width="13.5703125" bestFit="1" customWidth="1"/>
  </cols>
  <sheetData>
    <row r="1" spans="1:4" x14ac:dyDescent="0.25">
      <c r="A1" s="30" t="s">
        <v>239</v>
      </c>
      <c r="B1" s="30" t="s">
        <v>240</v>
      </c>
      <c r="C1" s="30" t="s">
        <v>246</v>
      </c>
      <c r="D1" s="30" t="s">
        <v>247</v>
      </c>
    </row>
    <row r="2" spans="1:4" x14ac:dyDescent="0.25">
      <c r="A2" t="s">
        <v>250</v>
      </c>
      <c r="B2" t="s">
        <v>241</v>
      </c>
      <c r="C2" s="28">
        <v>0.5</v>
      </c>
      <c r="D2" s="28">
        <f>C2*LOOKUP(B2,$A$17:$A$20,$B$17:$B$20)</f>
        <v>0.155</v>
      </c>
    </row>
    <row r="3" spans="1:4" x14ac:dyDescent="0.25">
      <c r="A3" t="s">
        <v>77</v>
      </c>
      <c r="B3" t="s">
        <v>241</v>
      </c>
      <c r="C3" s="28">
        <v>0</v>
      </c>
      <c r="D3" s="28">
        <f t="shared" ref="D3:D13" si="0">C3*LOOKUP(B3,$A$17:$A$20,$B$17:$B$20)</f>
        <v>0</v>
      </c>
    </row>
    <row r="4" spans="1:4" x14ac:dyDescent="0.25">
      <c r="A4" t="s">
        <v>78</v>
      </c>
      <c r="B4" t="s">
        <v>241</v>
      </c>
      <c r="C4" s="28">
        <v>0.5</v>
      </c>
      <c r="D4" s="28">
        <f t="shared" si="0"/>
        <v>0.155</v>
      </c>
    </row>
    <row r="5" spans="1:4" x14ac:dyDescent="0.25">
      <c r="A5" t="s">
        <v>79</v>
      </c>
      <c r="B5" t="s">
        <v>241</v>
      </c>
      <c r="C5" s="28">
        <v>0</v>
      </c>
      <c r="D5" s="28">
        <f t="shared" si="0"/>
        <v>0</v>
      </c>
    </row>
    <row r="6" spans="1:4" x14ac:dyDescent="0.25">
      <c r="A6" t="s">
        <v>249</v>
      </c>
      <c r="B6" t="s">
        <v>241</v>
      </c>
      <c r="C6" s="28">
        <v>0</v>
      </c>
      <c r="D6" s="28">
        <f t="shared" si="0"/>
        <v>0</v>
      </c>
    </row>
    <row r="7" spans="1:4" x14ac:dyDescent="0.25">
      <c r="A7" t="s">
        <v>84</v>
      </c>
      <c r="B7" t="s">
        <v>243</v>
      </c>
      <c r="C7" s="28">
        <v>0.8</v>
      </c>
      <c r="D7" s="28">
        <f t="shared" si="0"/>
        <v>0.1656</v>
      </c>
    </row>
    <row r="8" spans="1:4" x14ac:dyDescent="0.25">
      <c r="A8" t="s">
        <v>5</v>
      </c>
      <c r="B8" t="s">
        <v>243</v>
      </c>
      <c r="C8" s="28">
        <v>0.2</v>
      </c>
      <c r="D8" s="28">
        <f t="shared" si="0"/>
        <v>4.1399999999999999E-2</v>
      </c>
    </row>
    <row r="9" spans="1:4" x14ac:dyDescent="0.25">
      <c r="A9" t="s">
        <v>245</v>
      </c>
      <c r="B9" t="s">
        <v>242</v>
      </c>
      <c r="C9" s="28">
        <v>1</v>
      </c>
      <c r="D9" s="28">
        <f t="shared" si="0"/>
        <v>0.13800000000000001</v>
      </c>
    </row>
    <row r="10" spans="1:4" x14ac:dyDescent="0.25">
      <c r="A10" t="s">
        <v>238</v>
      </c>
      <c r="B10" t="s">
        <v>242</v>
      </c>
      <c r="C10" s="28">
        <v>0</v>
      </c>
      <c r="D10" s="28">
        <f t="shared" si="0"/>
        <v>0</v>
      </c>
    </row>
    <row r="11" spans="1:4" x14ac:dyDescent="0.25">
      <c r="A11" t="s">
        <v>234</v>
      </c>
      <c r="B11" t="s">
        <v>244</v>
      </c>
      <c r="C11" s="28">
        <v>0.5</v>
      </c>
      <c r="D11" s="28">
        <f t="shared" si="0"/>
        <v>0.17249999999999999</v>
      </c>
    </row>
    <row r="12" spans="1:4" x14ac:dyDescent="0.25">
      <c r="A12" t="s">
        <v>236</v>
      </c>
      <c r="B12" t="s">
        <v>244</v>
      </c>
      <c r="C12" s="28">
        <f>2/6</f>
        <v>0.33333333333333331</v>
      </c>
      <c r="D12" s="28">
        <f t="shared" si="0"/>
        <v>0.11499999999999999</v>
      </c>
    </row>
    <row r="13" spans="1:4" x14ac:dyDescent="0.25">
      <c r="A13" t="s">
        <v>237</v>
      </c>
      <c r="B13" t="s">
        <v>244</v>
      </c>
      <c r="C13" s="28">
        <f>1/6</f>
        <v>0.16666666666666666</v>
      </c>
      <c r="D13" s="28">
        <f t="shared" si="0"/>
        <v>5.7499999999999996E-2</v>
      </c>
    </row>
    <row r="15" spans="1:4" x14ac:dyDescent="0.25">
      <c r="D15" s="28"/>
    </row>
    <row r="16" spans="1:4" x14ac:dyDescent="0.25">
      <c r="A16" s="30" t="s">
        <v>240</v>
      </c>
      <c r="B16" s="30" t="s">
        <v>9</v>
      </c>
    </row>
    <row r="17" spans="1:4" x14ac:dyDescent="0.25">
      <c r="A17" t="s">
        <v>244</v>
      </c>
      <c r="B17">
        <v>0.34499999999999997</v>
      </c>
      <c r="D17">
        <v>0.34499999999999997</v>
      </c>
    </row>
    <row r="18" spans="1:4" x14ac:dyDescent="0.25">
      <c r="A18" t="s">
        <v>241</v>
      </c>
      <c r="B18">
        <v>0.31</v>
      </c>
      <c r="D18">
        <v>0.31</v>
      </c>
    </row>
    <row r="19" spans="1:4" x14ac:dyDescent="0.25">
      <c r="A19" t="s">
        <v>242</v>
      </c>
      <c r="B19">
        <v>0.13800000000000001</v>
      </c>
      <c r="D19">
        <v>0.13800000000000001</v>
      </c>
    </row>
    <row r="20" spans="1:4" x14ac:dyDescent="0.25">
      <c r="A20" t="s">
        <v>243</v>
      </c>
      <c r="B20">
        <v>0.20699999999999999</v>
      </c>
      <c r="D20">
        <v>0.20699999999999999</v>
      </c>
    </row>
  </sheetData>
  <sortState ref="A17:B20">
    <sortCondition ref="A17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opLeftCell="B1" workbookViewId="0">
      <selection activeCell="K25" sqref="K25"/>
    </sheetView>
  </sheetViews>
  <sheetFormatPr defaultRowHeight="15" x14ac:dyDescent="0.25"/>
  <cols>
    <col min="1" max="1" width="25.5703125" customWidth="1"/>
    <col min="2" max="2" width="11.140625" customWidth="1"/>
    <col min="3" max="3" width="12" customWidth="1"/>
    <col min="4" max="4" width="14.7109375" hidden="1" customWidth="1"/>
    <col min="5" max="5" width="12.140625" customWidth="1"/>
    <col min="6" max="6" width="10.85546875" customWidth="1"/>
    <col min="7" max="7" width="8.140625" bestFit="1" customWidth="1"/>
    <col min="8" max="8" width="10.42578125" customWidth="1"/>
    <col min="9" max="11" width="9.28515625" bestFit="1" customWidth="1"/>
    <col min="12" max="12" width="9.28515625" customWidth="1"/>
    <col min="13" max="13" width="13.42578125" bestFit="1" customWidth="1"/>
    <col min="14" max="14" width="19" hidden="1" customWidth="1"/>
    <col min="15" max="15" width="9.140625" bestFit="1" customWidth="1"/>
    <col min="16" max="16" width="7.85546875" bestFit="1" customWidth="1"/>
    <col min="17" max="17" width="7.7109375" bestFit="1" customWidth="1"/>
    <col min="18" max="18" width="7.7109375" hidden="1" customWidth="1"/>
    <col min="19" max="19" width="10.28515625" hidden="1" customWidth="1"/>
    <col min="20" max="20" width="8.85546875" hidden="1" customWidth="1"/>
    <col min="21" max="21" width="9.140625" bestFit="1" customWidth="1"/>
    <col min="22" max="22" width="11.42578125" customWidth="1"/>
    <col min="23" max="23" width="15.28515625" customWidth="1"/>
    <col min="24" max="24" width="7.7109375" bestFit="1" customWidth="1"/>
    <col min="25" max="25" width="8.5703125" hidden="1" customWidth="1"/>
  </cols>
  <sheetData>
    <row r="1" spans="1:25" s="17" customFormat="1" x14ac:dyDescent="0.25">
      <c r="A1" s="31" t="s">
        <v>248</v>
      </c>
      <c r="B1" s="17" t="str">
        <f>'Aerial Platform'!B2</f>
        <v>Predator</v>
      </c>
      <c r="C1" s="17" t="str">
        <f>'Aerial Platform'!C2</f>
        <v>Gray Eagle</v>
      </c>
      <c r="D1" s="17" t="str">
        <f>'Aerial Platform'!D2</f>
        <v>Global Hawk A</v>
      </c>
      <c r="E1" s="17" t="str">
        <f>'Aerial Platform'!E2</f>
        <v>Global Hawk</v>
      </c>
      <c r="F1" s="17" t="str">
        <f>'Aerial Platform'!F2</f>
        <v>Triton</v>
      </c>
      <c r="G1" s="17" t="str">
        <f>'Aerial Platform'!G2</f>
        <v>Shadow</v>
      </c>
      <c r="H1" s="17" t="str">
        <f>'Aerial Platform'!H2</f>
        <v>Fire Scout</v>
      </c>
      <c r="I1" s="17" t="str">
        <f>'Aerial Platform'!I2</f>
        <v>Reaper</v>
      </c>
      <c r="J1" s="17" t="str">
        <f>'Aerial Platform'!J2</f>
        <v>Raven</v>
      </c>
      <c r="K1" s="17" t="str">
        <f>'Aerial Platform'!K2</f>
        <v>Neptune</v>
      </c>
      <c r="L1" s="17" t="str">
        <f>'Aerial Platform'!L2</f>
        <v>T-Hawk</v>
      </c>
      <c r="M1" s="17" t="str">
        <f>'Aerial Platform'!M2</f>
        <v>Hummingbird</v>
      </c>
      <c r="N1" s="17" t="str">
        <f>'Aerial Platform'!N2</f>
        <v>Aerosonde Mark 4.7</v>
      </c>
      <c r="O1" s="17" t="str">
        <f>'Aerial Platform'!O2</f>
        <v>Blackjack</v>
      </c>
      <c r="P1" s="17" t="str">
        <f>'Aerial Platform'!P2</f>
        <v>UCAS-D</v>
      </c>
      <c r="Q1" s="17" t="str">
        <f>'Aerial Platform'!Q2</f>
        <v>Wasp III</v>
      </c>
      <c r="R1" s="17" t="str">
        <f>'Aerial Platform'!R2</f>
        <v>Shrike</v>
      </c>
      <c r="S1" s="17" t="str">
        <f>'Aerial Platform'!S2</f>
        <v>Scan Eagle</v>
      </c>
      <c r="T1" s="17" t="str">
        <f>'Aerial Platform'!T2</f>
        <v>Puma AE</v>
      </c>
      <c r="U1" s="17" t="str">
        <f>'Aerial Platform'!U2</f>
        <v>PTDS 74K</v>
      </c>
      <c r="V1" s="17" t="str">
        <f>'Aerial Platform'!V2</f>
        <v>RAID Tower</v>
      </c>
      <c r="W1" s="17" t="str">
        <f>'Aerial Platform'!W2</f>
        <v>Cerberus Tower</v>
      </c>
      <c r="X1" s="17" t="str">
        <f>'Aerial Platform'!X2</f>
        <v>TIF-25K</v>
      </c>
      <c r="Y1" s="17" t="str">
        <f>'Aerial Platform'!Y2</f>
        <v>Avenger</v>
      </c>
    </row>
    <row r="2" spans="1:25" x14ac:dyDescent="0.25">
      <c r="A2" t="str">
        <f>'Tradeoff weights'!A2</f>
        <v>Useful load</v>
      </c>
      <c r="B2" s="28">
        <f>'Tradeoff weights'!$D2*IF('Aerial Platform'!B10&lt;=MIN('Useful load'!$A$2:$A$12),0,IF('Aerial Platform'!B10&gt;=MAX('Useful load'!$A$2:$A$12),1,(1/'Useful load'!$B$16)*(1-EXP('Useful load'!$B$14*('Aerial Platform'!B10-MIN('Useful load'!$A$2:$A$12))^'Useful load'!$B$15))))</f>
        <v>0.155</v>
      </c>
      <c r="C2" s="28">
        <f>'Tradeoff weights'!$D2*IF('Aerial Platform'!C10&lt;=MIN('Useful load'!$A$2:$A$12),0,IF('Aerial Platform'!C10&gt;=MAX('Useful load'!$A$2:$A$12),1,(1/'Useful load'!$B$16)*(1-EXP('Useful load'!$B$14*('Aerial Platform'!C10-MIN('Useful load'!$A$2:$A$12))^'Useful load'!$B$15))))</f>
        <v>0.155</v>
      </c>
      <c r="D2" s="28">
        <f>'Tradeoff weights'!$D2*IF('Aerial Platform'!D10&lt;=MIN('Useful load'!$A$2:$A$12),0,IF('Aerial Platform'!D10&gt;=MAX('Useful load'!$A$2:$A$12),1,(1/'Useful load'!$B$16)*(1-EXP('Useful load'!$B$14*('Aerial Platform'!D10-MIN('Useful load'!$A$2:$A$12))^'Useful load'!$B$15))))</f>
        <v>0.155</v>
      </c>
      <c r="E2" s="28">
        <f>'Tradeoff weights'!$D2*IF('Aerial Platform'!E10&lt;=MIN('Useful load'!$A$2:$A$12),0,IF('Aerial Platform'!E10&gt;=MAX('Useful load'!$A$2:$A$12),1,(1/'Useful load'!$B$16)*(1-EXP('Useful load'!$B$14*('Aerial Platform'!E10-MIN('Useful load'!$A$2:$A$12))^'Useful load'!$B$15))))</f>
        <v>0.155</v>
      </c>
      <c r="F2" s="28">
        <f>'Tradeoff weights'!$D2*IF('Aerial Platform'!F10&lt;=MIN('Useful load'!$A$2:$A$12),0,IF('Aerial Platform'!F10&gt;=MAX('Useful load'!$A$2:$A$12),1,(1/'Useful load'!$B$16)*(1-EXP('Useful load'!$B$14*('Aerial Platform'!F10-MIN('Useful load'!$A$2:$A$12))^'Useful load'!$B$15))))</f>
        <v>0.155</v>
      </c>
      <c r="G2" s="28">
        <f>'Tradeoff weights'!$D2*IF('Aerial Platform'!G10&lt;=MIN('Useful load'!$A$2:$A$12),0,IF('Aerial Platform'!G10&gt;=MAX('Useful load'!$A$2:$A$12),1,(1/'Useful load'!$B$16)*(1-EXP('Useful load'!$B$14*('Aerial Platform'!G10-MIN('Useful load'!$A$2:$A$12))^'Useful load'!$B$15))))</f>
        <v>0.155</v>
      </c>
      <c r="H2" s="28">
        <f>'Tradeoff weights'!$D2*IF('Aerial Platform'!H10&lt;=MIN('Useful load'!$A$2:$A$12),0,IF('Aerial Platform'!H10&gt;=MAX('Useful load'!$A$2:$A$12),1,(1/'Useful load'!$B$16)*(1-EXP('Useful load'!$B$14*('Aerial Platform'!H10-MIN('Useful load'!$A$2:$A$12))^'Useful load'!$B$15))))</f>
        <v>0.155</v>
      </c>
      <c r="I2" s="28">
        <f>'Tradeoff weights'!$D2*IF('Aerial Platform'!I10&lt;=MIN('Useful load'!$A$2:$A$12),0,IF('Aerial Platform'!I10&gt;=MAX('Useful load'!$A$2:$A$12),1,(1/'Useful load'!$B$16)*(1-EXP('Useful load'!$B$14*('Aerial Platform'!I10-MIN('Useful load'!$A$2:$A$12))^'Useful load'!$B$15))))</f>
        <v>0.155</v>
      </c>
      <c r="J2" s="28">
        <f>'Tradeoff weights'!$D2*IF('Aerial Platform'!J10&lt;=MIN('Useful load'!$A$2:$A$12),0,IF('Aerial Platform'!J10&gt;=MAX('Useful load'!$A$2:$A$12),1,(1/'Useful load'!$B$16)*(1-EXP('Useful load'!$B$14*('Aerial Platform'!J10-MIN('Useful load'!$A$2:$A$12))^'Useful load'!$B$15))))</f>
        <v>4.1788389178771725E-3</v>
      </c>
      <c r="K2" s="28">
        <f>'Tradeoff weights'!$D2*IF('Aerial Platform'!K10&lt;=MIN('Useful load'!$A$2:$A$12),0,IF('Aerial Platform'!K10&gt;=MAX('Useful load'!$A$2:$A$12),1,(1/'Useful load'!$B$16)*(1-EXP('Useful load'!$B$14*('Aerial Platform'!K10-MIN('Useful load'!$A$2:$A$12))^'Useful load'!$B$15))))</f>
        <v>0.155</v>
      </c>
      <c r="L2" s="28">
        <f>'Tradeoff weights'!$D2*IF('Aerial Platform'!L10&lt;=MIN('Useful load'!$A$2:$A$12),0,IF('Aerial Platform'!L10&gt;=MAX('Useful load'!$A$2:$A$12),1,(1/'Useful load'!$B$16)*(1-EXP('Useful load'!$B$14*('Aerial Platform'!L10-MIN('Useful load'!$A$2:$A$12))^'Useful load'!$B$15))))</f>
        <v>2.4997595685348768E-2</v>
      </c>
      <c r="M2" s="28">
        <f>'Tradeoff weights'!$D2*IF('Aerial Platform'!M10&lt;=MIN('Useful load'!$A$2:$A$12),0,IF('Aerial Platform'!M10&gt;=MAX('Useful load'!$A$2:$A$12),1,(1/'Useful load'!$B$16)*(1-EXP('Useful load'!$B$14*('Aerial Platform'!M10-MIN('Useful load'!$A$2:$A$12))^'Useful load'!$B$15))))</f>
        <v>0.155</v>
      </c>
      <c r="N2" s="28">
        <f>'Tradeoff weights'!$D2*IF('Aerial Platform'!N10&lt;=MIN('Useful load'!$A$2:$A$12),0,IF('Aerial Platform'!N10&gt;=MAX('Useful load'!$A$2:$A$12),1,(1/'Useful load'!$B$16)*(1-EXP('Useful load'!$B$14*('Aerial Platform'!N10-MIN('Useful load'!$A$2:$A$12))^'Useful load'!$B$15))))</f>
        <v>0.11020511639154032</v>
      </c>
      <c r="O2" s="28">
        <f>'Tradeoff weights'!$D2*IF('Aerial Platform'!O10&lt;=MIN('Useful load'!$A$2:$A$12),0,IF('Aerial Platform'!O10&gt;=MAX('Useful load'!$A$2:$A$12),1,(1/'Useful load'!$B$16)*(1-EXP('Useful load'!$B$14*('Aerial Platform'!O10-MIN('Useful load'!$A$2:$A$12))^'Useful load'!$B$15))))</f>
        <v>0.155</v>
      </c>
      <c r="P2" s="28">
        <f>'Tradeoff weights'!$D2*IF('Aerial Platform'!P10&lt;=MIN('Useful load'!$A$2:$A$12),0,IF('Aerial Platform'!P10&gt;=MAX('Useful load'!$A$2:$A$12),1,(1/'Useful load'!$B$16)*(1-EXP('Useful load'!$B$14*('Aerial Platform'!P10-MIN('Useful load'!$A$2:$A$12))^'Useful load'!$B$15))))</f>
        <v>0.155</v>
      </c>
      <c r="Q2" s="28">
        <f>'Tradeoff weights'!$D2*IF('Aerial Platform'!Q10&lt;=MIN('Useful load'!$A$2:$A$12),0,IF('Aerial Platform'!Q10&gt;=MAX('Useful load'!$A$2:$A$12),1,(1/'Useful load'!$B$16)*(1-EXP('Useful load'!$B$14*('Aerial Platform'!Q10-MIN('Useful load'!$A$2:$A$12))^'Useful load'!$B$15))))</f>
        <v>1.8455259293946047E-3</v>
      </c>
      <c r="R2" s="28">
        <f>'Tradeoff weights'!$D2*IF('Aerial Platform'!R10&lt;=MIN('Useful load'!$A$2:$A$12),0,IF('Aerial Platform'!R10&gt;=MAX('Useful load'!$A$2:$A$12),1,(1/'Useful load'!$B$16)*(1-EXP('Useful load'!$B$14*('Aerial Platform'!R10-MIN('Useful load'!$A$2:$A$12))^'Useful load'!$B$15))))</f>
        <v>0</v>
      </c>
      <c r="S2" s="28">
        <f>'Tradeoff weights'!$D2*IF('Aerial Platform'!S10&lt;=MIN('Useful load'!$A$2:$A$12),0,IF('Aerial Platform'!S10&gt;=MAX('Useful load'!$A$2:$A$12),1,(1/'Useful load'!$B$16)*(1-EXP('Useful load'!$B$14*('Aerial Platform'!S10-MIN('Useful load'!$A$2:$A$12))^'Useful load'!$B$15))))</f>
        <v>8.9254566293573173E-2</v>
      </c>
      <c r="T2" s="28">
        <f>'Tradeoff weights'!$D2*IF('Aerial Platform'!T10&lt;=MIN('Useful load'!$A$2:$A$12),0,IF('Aerial Platform'!T10&gt;=MAX('Useful load'!$A$2:$A$12),1,(1/'Useful load'!$B$16)*(1-EXP('Useful load'!$B$14*('Aerial Platform'!T10-MIN('Useful load'!$A$2:$A$12))^'Useful load'!$B$15))))</f>
        <v>1.164781536868225E-2</v>
      </c>
      <c r="U2" s="28">
        <f>'Tradeoff weights'!$D2*IF('Aerial Platform'!U10&lt;=MIN('Useful load'!$A$2:$A$12),0,IF('Aerial Platform'!U10&gt;=MAX('Useful load'!$A$2:$A$12),1,(1/'Useful load'!$B$16)*(1-EXP('Useful load'!$B$14*('Aerial Platform'!U10-MIN('Useful load'!$A$2:$A$12))^'Useful load'!$B$15))))</f>
        <v>0.155</v>
      </c>
      <c r="V2" s="28">
        <f>'Tradeoff weights'!$D2*IF('Aerial Platform'!V10&lt;=MIN('Useful load'!$A$2:$A$12),0,IF('Aerial Platform'!V10&gt;=MAX('Useful load'!$A$2:$A$12),1,(1/'Useful load'!$B$16)*(1-EXP('Useful load'!$B$14*('Aerial Platform'!V10-MIN('Useful load'!$A$2:$A$12))^'Useful load'!$B$15))))</f>
        <v>0.155</v>
      </c>
      <c r="W2" s="28">
        <f>'Tradeoff weights'!$D2*IF('Aerial Platform'!W10&lt;=MIN('Useful load'!$A$2:$A$12),0,IF('Aerial Platform'!W10&gt;=MAX('Useful load'!$A$2:$A$12),1,(1/'Useful load'!$B$16)*(1-EXP('Useful load'!$B$14*('Aerial Platform'!W10-MIN('Useful load'!$A$2:$A$12))^'Useful load'!$B$15))))</f>
        <v>0.155</v>
      </c>
      <c r="X2" s="28">
        <f>'Tradeoff weights'!$D2*IF('Aerial Platform'!X10&lt;=MIN('Useful load'!$A$2:$A$12),0,IF('Aerial Platform'!X10&gt;=MAX('Useful load'!$A$2:$A$12),1,(1/'Useful load'!$B$16)*(1-EXP('Useful load'!$B$14*('Aerial Platform'!X10-MIN('Useful load'!$A$2:$A$12))^'Useful load'!$B$15))))</f>
        <v>0.155</v>
      </c>
      <c r="Y2" s="28">
        <f>'Tradeoff weights'!$D2*IF('Aerial Platform'!Y10&lt;=MIN('Useful load'!$A$2:$A$12),0,IF('Aerial Platform'!Y10&gt;=MAX('Useful load'!$A$2:$A$12),1,(1/'Useful load'!$B$16)*(1-EXP('Useful load'!$B$14*('Aerial Platform'!Y10-MIN('Useful load'!$A$2:$A$12))^'Useful load'!$B$15))))</f>
        <v>0.155</v>
      </c>
    </row>
    <row r="3" spans="1:25" x14ac:dyDescent="0.25">
      <c r="A3" t="str">
        <f>'Tradeoff weights'!A3</f>
        <v>Ceiling</v>
      </c>
      <c r="B3" s="28">
        <f>'Tradeoff weights'!$D3*IF('Aerial Platform'!B11&lt;=MIN(Ceiling!$A$2:$A$12),0,IF('Aerial Platform'!B11&gt;=MAX(Ceiling!$A$2:$A$12),1,(1/Ceiling!$B$16)*(1-EXP(Ceiling!$B$14*('Aerial Platform'!B11-MIN(Ceiling!$A$2:$A$12))^Ceiling!$B$15))))</f>
        <v>0</v>
      </c>
      <c r="C3" s="28">
        <f>'Tradeoff weights'!$D3*IF('Aerial Platform'!C11&lt;=MIN(Ceiling!$A$2:$A$12),0,IF('Aerial Platform'!C11&gt;=MAX(Ceiling!$A$2:$A$12),1,(1/Ceiling!$B$16)*(1-EXP(Ceiling!$B$14*('Aerial Platform'!C11-MIN(Ceiling!$A$2:$A$12))^Ceiling!$B$15))))</f>
        <v>0</v>
      </c>
      <c r="D3" s="28">
        <f>'Tradeoff weights'!$D3*IF('Aerial Platform'!D11&lt;=MIN(Ceiling!$A$2:$A$12),0,IF('Aerial Platform'!D11&gt;=MAX(Ceiling!$A$2:$A$12),1,(1/Ceiling!$B$16)*(1-EXP(Ceiling!$B$14*('Aerial Platform'!D11-MIN(Ceiling!$A$2:$A$12))^Ceiling!$B$15))))</f>
        <v>0</v>
      </c>
      <c r="E3" s="28">
        <f>'Tradeoff weights'!$D3*IF('Aerial Platform'!E11&lt;=MIN(Ceiling!$A$2:$A$12),0,IF('Aerial Platform'!E11&gt;=MAX(Ceiling!$A$2:$A$12),1,(1/Ceiling!$B$16)*(1-EXP(Ceiling!$B$14*('Aerial Platform'!E11-MIN(Ceiling!$A$2:$A$12))^Ceiling!$B$15))))</f>
        <v>0</v>
      </c>
      <c r="F3" s="28">
        <f>'Tradeoff weights'!$D3*IF('Aerial Platform'!F11&lt;=MIN(Ceiling!$A$2:$A$12),0,IF('Aerial Platform'!F11&gt;=MAX(Ceiling!$A$2:$A$12),1,(1/Ceiling!$B$16)*(1-EXP(Ceiling!$B$14*('Aerial Platform'!F11-MIN(Ceiling!$A$2:$A$12))^Ceiling!$B$15))))</f>
        <v>0</v>
      </c>
      <c r="G3" s="28">
        <f>'Tradeoff weights'!$D3*IF('Aerial Platform'!G11&lt;=MIN(Ceiling!$A$2:$A$12),0,IF('Aerial Platform'!G11&gt;=MAX(Ceiling!$A$2:$A$12),1,(1/Ceiling!$B$16)*(1-EXP(Ceiling!$B$14*('Aerial Platform'!G11-MIN(Ceiling!$A$2:$A$12))^Ceiling!$B$15))))</f>
        <v>0</v>
      </c>
      <c r="H3" s="28">
        <f>'Tradeoff weights'!$D3*IF('Aerial Platform'!H11&lt;=MIN(Ceiling!$A$2:$A$12),0,IF('Aerial Platform'!H11&gt;=MAX(Ceiling!$A$2:$A$12),1,(1/Ceiling!$B$16)*(1-EXP(Ceiling!$B$14*('Aerial Platform'!H11-MIN(Ceiling!$A$2:$A$12))^Ceiling!$B$15))))</f>
        <v>0</v>
      </c>
      <c r="I3" s="28">
        <f>'Tradeoff weights'!$D3*IF('Aerial Platform'!I11&lt;=MIN(Ceiling!$A$2:$A$12),0,IF('Aerial Platform'!I11&gt;=MAX(Ceiling!$A$2:$A$12),1,(1/Ceiling!$B$16)*(1-EXP(Ceiling!$B$14*('Aerial Platform'!I11-MIN(Ceiling!$A$2:$A$12))^Ceiling!$B$15))))</f>
        <v>0</v>
      </c>
      <c r="J3" s="28">
        <f>'Tradeoff weights'!$D3*IF('Aerial Platform'!J11&lt;=MIN(Ceiling!$A$2:$A$12),0,IF('Aerial Platform'!J11&gt;=MAX(Ceiling!$A$2:$A$12),1,(1/Ceiling!$B$16)*(1-EXP(Ceiling!$B$14*('Aerial Platform'!J11-MIN(Ceiling!$A$2:$A$12))^Ceiling!$B$15))))</f>
        <v>0</v>
      </c>
      <c r="K3" s="28">
        <f>'Tradeoff weights'!$D3*IF('Aerial Platform'!K11&lt;=MIN(Ceiling!$A$2:$A$12),0,IF('Aerial Platform'!K11&gt;=MAX(Ceiling!$A$2:$A$12),1,(1/Ceiling!$B$16)*(1-EXP(Ceiling!$B$14*('Aerial Platform'!K11-MIN(Ceiling!$A$2:$A$12))^Ceiling!$B$15))))</f>
        <v>0</v>
      </c>
      <c r="L3" s="28">
        <f>'Tradeoff weights'!$D3*IF('Aerial Platform'!L11&lt;=MIN(Ceiling!$A$2:$A$12),0,IF('Aerial Platform'!L11&gt;=MAX(Ceiling!$A$2:$A$12),1,(1/Ceiling!$B$16)*(1-EXP(Ceiling!$B$14*('Aerial Platform'!L11-MIN(Ceiling!$A$2:$A$12))^Ceiling!$B$15))))</f>
        <v>0</v>
      </c>
      <c r="M3" s="28">
        <f>'Tradeoff weights'!$D3*IF('Aerial Platform'!M11&lt;=MIN(Ceiling!$A$2:$A$12),0,IF('Aerial Platform'!M11&gt;=MAX(Ceiling!$A$2:$A$12),1,(1/Ceiling!$B$16)*(1-EXP(Ceiling!$B$14*('Aerial Platform'!M11-MIN(Ceiling!$A$2:$A$12))^Ceiling!$B$15))))</f>
        <v>0</v>
      </c>
      <c r="N3" s="28">
        <f>'Tradeoff weights'!$D3*IF('Aerial Platform'!N11&lt;=MIN(Ceiling!$A$2:$A$12),0,IF('Aerial Platform'!N11&gt;=MAX(Ceiling!$A$2:$A$12),1,(1/Ceiling!$B$16)*(1-EXP(Ceiling!$B$14*('Aerial Platform'!N11-MIN(Ceiling!$A$2:$A$12))^Ceiling!$B$15))))</f>
        <v>0</v>
      </c>
      <c r="O3" s="28">
        <f>'Tradeoff weights'!$D3*IF('Aerial Platform'!O11&lt;=MIN(Ceiling!$A$2:$A$12),0,IF('Aerial Platform'!O11&gt;=MAX(Ceiling!$A$2:$A$12),1,(1/Ceiling!$B$16)*(1-EXP(Ceiling!$B$14*('Aerial Platform'!O11-MIN(Ceiling!$A$2:$A$12))^Ceiling!$B$15))))</f>
        <v>0</v>
      </c>
      <c r="P3" s="28">
        <f>'Tradeoff weights'!$D3*IF('Aerial Platform'!P11&lt;=MIN(Ceiling!$A$2:$A$12),0,IF('Aerial Platform'!P11&gt;=MAX(Ceiling!$A$2:$A$12),1,(1/Ceiling!$B$16)*(1-EXP(Ceiling!$B$14*('Aerial Platform'!P11-MIN(Ceiling!$A$2:$A$12))^Ceiling!$B$15))))</f>
        <v>0</v>
      </c>
      <c r="Q3" s="28">
        <f>'Tradeoff weights'!$D3*IF('Aerial Platform'!Q11&lt;=MIN(Ceiling!$A$2:$A$12),0,IF('Aerial Platform'!Q11&gt;=MAX(Ceiling!$A$2:$A$12),1,(1/Ceiling!$B$16)*(1-EXP(Ceiling!$B$14*('Aerial Platform'!Q11-MIN(Ceiling!$A$2:$A$12))^Ceiling!$B$15))))</f>
        <v>0</v>
      </c>
      <c r="R3" s="28">
        <f>'Tradeoff weights'!$D3*IF('Aerial Platform'!R11&lt;=MIN(Ceiling!$A$2:$A$12),0,IF('Aerial Platform'!R11&gt;=MAX(Ceiling!$A$2:$A$12),1,(1/Ceiling!$B$16)*(1-EXP(Ceiling!$B$14*('Aerial Platform'!R11-MIN(Ceiling!$A$2:$A$12))^Ceiling!$B$15))))</f>
        <v>0</v>
      </c>
      <c r="S3" s="28">
        <f>'Tradeoff weights'!$D3*IF('Aerial Platform'!S11&lt;=MIN(Ceiling!$A$2:$A$12),0,IF('Aerial Platform'!S11&gt;=MAX(Ceiling!$A$2:$A$12),1,(1/Ceiling!$B$16)*(1-EXP(Ceiling!$B$14*('Aerial Platform'!S11-MIN(Ceiling!$A$2:$A$12))^Ceiling!$B$15))))</f>
        <v>0</v>
      </c>
      <c r="T3" s="28">
        <f>'Tradeoff weights'!$D3*IF('Aerial Platform'!T11&lt;=MIN(Ceiling!$A$2:$A$12),0,IF('Aerial Platform'!T11&gt;=MAX(Ceiling!$A$2:$A$12),1,(1/Ceiling!$B$16)*(1-EXP(Ceiling!$B$14*('Aerial Platform'!T11-MIN(Ceiling!$A$2:$A$12))^Ceiling!$B$15))))</f>
        <v>0</v>
      </c>
      <c r="U3" s="28">
        <f>'Tradeoff weights'!$D3*IF('Aerial Platform'!U11&lt;=MIN(Ceiling!$A$2:$A$12),0,IF('Aerial Platform'!U11&gt;=MAX(Ceiling!$A$2:$A$12),1,(1/Ceiling!$B$16)*(1-EXP(Ceiling!$B$14*('Aerial Platform'!U11-MIN(Ceiling!$A$2:$A$12))^Ceiling!$B$15))))</f>
        <v>0</v>
      </c>
      <c r="V3" s="28">
        <f>'Tradeoff weights'!$D3*IF('Aerial Platform'!V11&lt;=MIN(Ceiling!$A$2:$A$12),0,IF('Aerial Platform'!V11&gt;=MAX(Ceiling!$A$2:$A$12),1,(1/Ceiling!$B$16)*(1-EXP(Ceiling!$B$14*('Aerial Platform'!V11-MIN(Ceiling!$A$2:$A$12))^Ceiling!$B$15))))</f>
        <v>0</v>
      </c>
      <c r="W3" s="28">
        <f>'Tradeoff weights'!$D3*IF('Aerial Platform'!W11&lt;=MIN(Ceiling!$A$2:$A$12),0,IF('Aerial Platform'!W11&gt;=MAX(Ceiling!$A$2:$A$12),1,(1/Ceiling!$B$16)*(1-EXP(Ceiling!$B$14*('Aerial Platform'!W11-MIN(Ceiling!$A$2:$A$12))^Ceiling!$B$15))))</f>
        <v>0</v>
      </c>
      <c r="X3" s="28">
        <f>'Tradeoff weights'!$D3*IF('Aerial Platform'!X11&lt;=MIN(Ceiling!$A$2:$A$12),0,IF('Aerial Platform'!X11&gt;=MAX(Ceiling!$A$2:$A$12),1,(1/Ceiling!$B$16)*(1-EXP(Ceiling!$B$14*('Aerial Platform'!X11-MIN(Ceiling!$A$2:$A$12))^Ceiling!$B$15))))</f>
        <v>0</v>
      </c>
      <c r="Y3" s="28">
        <f>'Tradeoff weights'!$D3*IF('Aerial Platform'!Y11&lt;=MIN(Ceiling!$A$2:$A$12),0,IF('Aerial Platform'!Y11&gt;=MAX(Ceiling!$A$2:$A$12),1,(1/Ceiling!$B$16)*(1-EXP(Ceiling!$B$14*('Aerial Platform'!Y11-MIN(Ceiling!$A$2:$A$12))^Ceiling!$B$15))))</f>
        <v>0</v>
      </c>
    </row>
    <row r="4" spans="1:25" x14ac:dyDescent="0.25">
      <c r="A4" t="str">
        <f>'Tradeoff weights'!A4</f>
        <v>Endurance</v>
      </c>
      <c r="B4" s="28">
        <f>'Tradeoff weights'!$D4*IF('Aerial Platform'!B12&lt;=MIN(Endurance!$A$2:$A$12),0,IF('Aerial Platform'!B12&gt;=MAX(Endurance!$A$2:$A$12),1,(1/Endurance!$B$16)*(1-EXP(Endurance!$B$14*('Aerial Platform'!B12-MIN(Endurance!$A$2:$A$12))^Endurance!$B$15))))</f>
        <v>0.155</v>
      </c>
      <c r="C4" s="28">
        <f>'Tradeoff weights'!$D4*IF('Aerial Platform'!C12&lt;=MIN(Endurance!$A$2:$A$12),0,IF('Aerial Platform'!C12&gt;=MAX(Endurance!$A$2:$A$12),1,(1/Endurance!$B$16)*(1-EXP(Endurance!$B$14*('Aerial Platform'!C12-MIN(Endurance!$A$2:$A$12))^Endurance!$B$15))))</f>
        <v>0.155</v>
      </c>
      <c r="D4" s="28">
        <f>'Tradeoff weights'!$D4*IF('Aerial Platform'!D12&lt;=MIN(Endurance!$A$2:$A$12),0,IF('Aerial Platform'!D12&gt;=MAX(Endurance!$A$2:$A$12),1,(1/Endurance!$B$16)*(1-EXP(Endurance!$B$14*('Aerial Platform'!D12-MIN(Endurance!$A$2:$A$12))^Endurance!$B$15))))</f>
        <v>0.155</v>
      </c>
      <c r="E4" s="28">
        <f>'Tradeoff weights'!$D4*IF('Aerial Platform'!E12&lt;=MIN(Endurance!$A$2:$A$12),0,IF('Aerial Platform'!E12&gt;=MAX(Endurance!$A$2:$A$12),1,(1/Endurance!$B$16)*(1-EXP(Endurance!$B$14*('Aerial Platform'!E12-MIN(Endurance!$A$2:$A$12))^Endurance!$B$15))))</f>
        <v>0.155</v>
      </c>
      <c r="F4" s="28">
        <f>'Tradeoff weights'!$D4*IF('Aerial Platform'!F12&lt;=MIN(Endurance!$A$2:$A$12),0,IF('Aerial Platform'!F12&gt;=MAX(Endurance!$A$2:$A$12),1,(1/Endurance!$B$16)*(1-EXP(Endurance!$B$14*('Aerial Platform'!F12-MIN(Endurance!$A$2:$A$12))^Endurance!$B$15))))</f>
        <v>0.155</v>
      </c>
      <c r="G4" s="28">
        <f>'Tradeoff weights'!$D4*IF('Aerial Platform'!G12&lt;=MIN(Endurance!$A$2:$A$12),0,IF('Aerial Platform'!G12&gt;=MAX(Endurance!$A$2:$A$12),1,(1/Endurance!$B$16)*(1-EXP(Endurance!$B$14*('Aerial Platform'!G12-MIN(Endurance!$A$2:$A$12))^Endurance!$B$15))))</f>
        <v>0.155</v>
      </c>
      <c r="H4" s="28">
        <f>'Tradeoff weights'!$D4*IF('Aerial Platform'!H12&lt;=MIN(Endurance!$A$2:$A$12),0,IF('Aerial Platform'!H12&gt;=MAX(Endurance!$A$2:$A$12),1,(1/Endurance!$B$16)*(1-EXP(Endurance!$B$14*('Aerial Platform'!H12-MIN(Endurance!$A$2:$A$12))^Endurance!$B$15))))</f>
        <v>0.155</v>
      </c>
      <c r="I4" s="28">
        <f>'Tradeoff weights'!$D4*IF('Aerial Platform'!I12&lt;=MIN(Endurance!$A$2:$A$12),0,IF('Aerial Platform'!I12&gt;=MAX(Endurance!$A$2:$A$12),1,(1/Endurance!$B$16)*(1-EXP(Endurance!$B$14*('Aerial Platform'!I12-MIN(Endurance!$A$2:$A$12))^Endurance!$B$15))))</f>
        <v>0.155</v>
      </c>
      <c r="J4" s="28">
        <f>'Tradeoff weights'!$D4*IF('Aerial Platform'!J12&lt;=MIN(Endurance!$A$2:$A$12),0,IF('Aerial Platform'!J12&gt;=MAX(Endurance!$A$2:$A$12),1,(1/Endurance!$B$16)*(1-EXP(Endurance!$B$14*('Aerial Platform'!J12-MIN(Endurance!$A$2:$A$12))^Endurance!$B$15))))</f>
        <v>0.1162500004302114</v>
      </c>
      <c r="K4" s="28">
        <f>'Tradeoff weights'!$D4*IF('Aerial Platform'!K12&lt;=MIN(Endurance!$A$2:$A$12),0,IF('Aerial Platform'!K12&gt;=MAX(Endurance!$A$2:$A$12),1,(1/Endurance!$B$16)*(1-EXP(Endurance!$B$14*('Aerial Platform'!K12-MIN(Endurance!$A$2:$A$12))^Endurance!$B$15))))</f>
        <v>0.155</v>
      </c>
      <c r="L4" s="28">
        <f>'Tradeoff weights'!$D4*IF('Aerial Platform'!L12&lt;=MIN(Endurance!$A$2:$A$12),0,IF('Aerial Platform'!L12&gt;=MAX(Endurance!$A$2:$A$12),1,(1/Endurance!$B$16)*(1-EXP(Endurance!$B$14*('Aerial Platform'!L12-MIN(Endurance!$A$2:$A$12))^Endurance!$B$15))))</f>
        <v>7.7499999139577155E-2</v>
      </c>
      <c r="M4" s="28">
        <f>'Tradeoff weights'!$D4*IF('Aerial Platform'!M12&lt;=MIN(Endurance!$A$2:$A$12),0,IF('Aerial Platform'!M12&gt;=MAX(Endurance!$A$2:$A$12),1,(1/Endurance!$B$16)*(1-EXP(Endurance!$B$14*('Aerial Platform'!M12-MIN(Endurance!$A$2:$A$12))^Endurance!$B$15))))</f>
        <v>0.155</v>
      </c>
      <c r="N4" s="28">
        <f>'Tradeoff weights'!$D4*IF('Aerial Platform'!N12&lt;=MIN(Endurance!$A$2:$A$12),0,IF('Aerial Platform'!N12&gt;=MAX(Endurance!$A$2:$A$12),1,(1/Endurance!$B$16)*(1-EXP(Endurance!$B$14*('Aerial Platform'!N12-MIN(Endurance!$A$2:$A$12))^Endurance!$B$15))))</f>
        <v>0.155</v>
      </c>
      <c r="O4" s="28">
        <f>'Tradeoff weights'!$D4*IF('Aerial Platform'!O12&lt;=MIN(Endurance!$A$2:$A$12),0,IF('Aerial Platform'!O12&gt;=MAX(Endurance!$A$2:$A$12),1,(1/Endurance!$B$16)*(1-EXP(Endurance!$B$14*('Aerial Platform'!O12-MIN(Endurance!$A$2:$A$12))^Endurance!$B$15))))</f>
        <v>0.155</v>
      </c>
      <c r="P4" s="28">
        <f>'Tradeoff weights'!$D4*IF('Aerial Platform'!P12&lt;=MIN(Endurance!$A$2:$A$12),0,IF('Aerial Platform'!P12&gt;=MAX(Endurance!$A$2:$A$12),1,(1/Endurance!$B$16)*(1-EXP(Endurance!$B$14*('Aerial Platform'!P12-MIN(Endurance!$A$2:$A$12))^Endurance!$B$15))))</f>
        <v>0.155</v>
      </c>
      <c r="Q4" s="28">
        <f>'Tradeoff weights'!$D4*IF('Aerial Platform'!Q12&lt;=MIN(Endurance!$A$2:$A$12),0,IF('Aerial Platform'!Q12&gt;=MAX(Endurance!$A$2:$A$12),1,(1/Endurance!$B$16)*(1-EXP(Endurance!$B$14*('Aerial Platform'!Q12-MIN(Endurance!$A$2:$A$12))^Endurance!$B$15))))</f>
        <v>5.8124999354682863E-2</v>
      </c>
      <c r="R4" s="28">
        <f>'Tradeoff weights'!$D4*IF('Aerial Platform'!R12&lt;=MIN(Endurance!$A$2:$A$12),0,IF('Aerial Platform'!R12&gt;=MAX(Endurance!$A$2:$A$12),1,(1/Endurance!$B$16)*(1-EXP(Endurance!$B$14*('Aerial Platform'!R12-MIN(Endurance!$A$2:$A$12))^Endurance!$B$15))))</f>
        <v>4.6500000172084568E-2</v>
      </c>
      <c r="S4" s="28">
        <f>'Tradeoff weights'!$D4*IF('Aerial Platform'!S12&lt;=MIN(Endurance!$A$2:$A$12),0,IF('Aerial Platform'!S12&gt;=MAX(Endurance!$A$2:$A$12),1,(1/Endurance!$B$16)*(1-EXP(Endurance!$B$14*('Aerial Platform'!S12-MIN(Endurance!$A$2:$A$12))^Endurance!$B$15))))</f>
        <v>0.155</v>
      </c>
      <c r="T4" s="28">
        <f>'Tradeoff weights'!$D4*IF('Aerial Platform'!T12&lt;=MIN(Endurance!$A$2:$A$12),0,IF('Aerial Platform'!T12&gt;=MAX(Endurance!$A$2:$A$12),1,(1/Endurance!$B$16)*(1-EXP(Endurance!$B$14*('Aerial Platform'!T12-MIN(Endurance!$A$2:$A$12))^Endurance!$B$15))))</f>
        <v>0.155</v>
      </c>
      <c r="U4" s="28">
        <f>'Tradeoff weights'!$D4*IF('Aerial Platform'!U12&lt;=MIN(Endurance!$A$2:$A$12),0,IF('Aerial Platform'!U12&gt;=MAX(Endurance!$A$2:$A$12),1,(1/Endurance!$B$16)*(1-EXP(Endurance!$B$14*('Aerial Platform'!U12-MIN(Endurance!$A$2:$A$12))^Endurance!$B$15))))</f>
        <v>0.155</v>
      </c>
      <c r="V4" s="28">
        <f>'Tradeoff weights'!$D4*IF('Aerial Platform'!V12&lt;=MIN(Endurance!$A$2:$A$12),0,IF('Aerial Platform'!V12&gt;=MAX(Endurance!$A$2:$A$12),1,(1/Endurance!$B$16)*(1-EXP(Endurance!$B$14*('Aerial Platform'!V12-MIN(Endurance!$A$2:$A$12))^Endurance!$B$15))))</f>
        <v>0.155</v>
      </c>
      <c r="W4" s="28">
        <f>'Tradeoff weights'!$D4*IF('Aerial Platform'!W12&lt;=MIN(Endurance!$A$2:$A$12),0,IF('Aerial Platform'!W12&gt;=MAX(Endurance!$A$2:$A$12),1,(1/Endurance!$B$16)*(1-EXP(Endurance!$B$14*('Aerial Platform'!W12-MIN(Endurance!$A$2:$A$12))^Endurance!$B$15))))</f>
        <v>0.155</v>
      </c>
      <c r="X4" s="28">
        <f>'Tradeoff weights'!$D4*IF('Aerial Platform'!X12&lt;=MIN(Endurance!$A$2:$A$12),0,IF('Aerial Platform'!X12&gt;=MAX(Endurance!$A$2:$A$12),1,(1/Endurance!$B$16)*(1-EXP(Endurance!$B$14*('Aerial Platform'!X12-MIN(Endurance!$A$2:$A$12))^Endurance!$B$15))))</f>
        <v>0.155</v>
      </c>
      <c r="Y4" s="28">
        <f>'Tradeoff weights'!$D4*IF('Aerial Platform'!Y12&lt;=MIN(Endurance!$A$2:$A$12),0,IF('Aerial Platform'!Y12&gt;=MAX(Endurance!$A$2:$A$12),1,(1/Endurance!$B$16)*(1-EXP(Endurance!$B$14*('Aerial Platform'!Y12-MIN(Endurance!$A$2:$A$12))^Endurance!$B$15))))</f>
        <v>0.155</v>
      </c>
    </row>
    <row r="5" spans="1:25" x14ac:dyDescent="0.25">
      <c r="A5" t="str">
        <f>'Tradeoff weights'!A5</f>
        <v>Range</v>
      </c>
      <c r="B5" s="28">
        <f>'Tradeoff weights'!$D5*IF('Aerial Platform'!B13&lt;=MIN(Range!$A$2:$A$12),0,IF('Aerial Platform'!B13&gt;=MAX(Range!$A$2:$A$12),1,(1/Range!$B$16)*(1-EXP(Range!$B$14*('Aerial Platform'!B13-MIN(Range!$A$2:$A$12))^Range!$B$15))))</f>
        <v>0</v>
      </c>
      <c r="C5" s="28">
        <f>'Tradeoff weights'!$D5*IF('Aerial Platform'!C13&lt;=MIN(Range!$A$2:$A$12),0,IF('Aerial Platform'!C13&gt;=MAX(Range!$A$2:$A$12),1,(1/Range!$B$16)*(1-EXP(Range!$B$14*('Aerial Platform'!C13-MIN(Range!$A$2:$A$12))^Range!$B$15))))</f>
        <v>0</v>
      </c>
      <c r="D5" s="28">
        <f>'Tradeoff weights'!$D5*IF('Aerial Platform'!D13&lt;=MIN(Range!$A$2:$A$12),0,IF('Aerial Platform'!D13&gt;=MAX(Range!$A$2:$A$12),1,(1/Range!$B$16)*(1-EXP(Range!$B$14*('Aerial Platform'!D13-MIN(Range!$A$2:$A$12))^Range!$B$15))))</f>
        <v>0</v>
      </c>
      <c r="E5" s="28">
        <f>'Tradeoff weights'!$D5*IF('Aerial Platform'!E13&lt;=MIN(Range!$A$2:$A$12),0,IF('Aerial Platform'!E13&gt;=MAX(Range!$A$2:$A$12),1,(1/Range!$B$16)*(1-EXP(Range!$B$14*('Aerial Platform'!E13-MIN(Range!$A$2:$A$12))^Range!$B$15))))</f>
        <v>0</v>
      </c>
      <c r="F5" s="28">
        <f>'Tradeoff weights'!$D5*IF('Aerial Platform'!F13&lt;=MIN(Range!$A$2:$A$12),0,IF('Aerial Platform'!F13&gt;=MAX(Range!$A$2:$A$12),1,(1/Range!$B$16)*(1-EXP(Range!$B$14*('Aerial Platform'!F13-MIN(Range!$A$2:$A$12))^Range!$B$15))))</f>
        <v>0</v>
      </c>
      <c r="G5" s="28">
        <f>'Tradeoff weights'!$D5*IF('Aerial Platform'!G13&lt;=MIN(Range!$A$2:$A$12),0,IF('Aerial Platform'!G13&gt;=MAX(Range!$A$2:$A$12),1,(1/Range!$B$16)*(1-EXP(Range!$B$14*('Aerial Platform'!G13-MIN(Range!$A$2:$A$12))^Range!$B$15))))</f>
        <v>0</v>
      </c>
      <c r="H5" s="28">
        <f>'Tradeoff weights'!$D5*IF('Aerial Platform'!H13&lt;=MIN(Range!$A$2:$A$12),0,IF('Aerial Platform'!H13&gt;=MAX(Range!$A$2:$A$12),1,(1/Range!$B$16)*(1-EXP(Range!$B$14*('Aerial Platform'!H13-MIN(Range!$A$2:$A$12))^Range!$B$15))))</f>
        <v>0</v>
      </c>
      <c r="I5" s="28">
        <f>'Tradeoff weights'!$D5*IF('Aerial Platform'!I13&lt;=MIN(Range!$A$2:$A$12),0,IF('Aerial Platform'!I13&gt;=MAX(Range!$A$2:$A$12),1,(1/Range!$B$16)*(1-EXP(Range!$B$14*('Aerial Platform'!I13-MIN(Range!$A$2:$A$12))^Range!$B$15))))</f>
        <v>0</v>
      </c>
      <c r="J5" s="28">
        <f>'Tradeoff weights'!$D5*IF('Aerial Platform'!J13&lt;=MIN(Range!$A$2:$A$12),0,IF('Aerial Platform'!J13&gt;=MAX(Range!$A$2:$A$12),1,(1/Range!$B$16)*(1-EXP(Range!$B$14*('Aerial Platform'!J13-MIN(Range!$A$2:$A$12))^Range!$B$15))))</f>
        <v>0</v>
      </c>
      <c r="K5" s="28">
        <f>'Tradeoff weights'!$D5*IF('Aerial Platform'!K13&lt;=MIN(Range!$A$2:$A$12),0,IF('Aerial Platform'!K13&gt;=MAX(Range!$A$2:$A$12),1,(1/Range!$B$16)*(1-EXP(Range!$B$14*('Aerial Platform'!K13-MIN(Range!$A$2:$A$12))^Range!$B$15))))</f>
        <v>0</v>
      </c>
      <c r="L5" s="28">
        <f>'Tradeoff weights'!$D5*IF('Aerial Platform'!L13&lt;=MIN(Range!$A$2:$A$12),0,IF('Aerial Platform'!L13&gt;=MAX(Range!$A$2:$A$12),1,(1/Range!$B$16)*(1-EXP(Range!$B$14*('Aerial Platform'!L13-MIN(Range!$A$2:$A$12))^Range!$B$15))))</f>
        <v>0</v>
      </c>
      <c r="M5" s="28">
        <f>'Tradeoff weights'!$D5*IF('Aerial Platform'!M13&lt;=MIN(Range!$A$2:$A$12),0,IF('Aerial Platform'!M13&gt;=MAX(Range!$A$2:$A$12),1,(1/Range!$B$16)*(1-EXP(Range!$B$14*('Aerial Platform'!M13-MIN(Range!$A$2:$A$12))^Range!$B$15))))</f>
        <v>0</v>
      </c>
      <c r="N5" s="28">
        <f>'Tradeoff weights'!$D5*IF('Aerial Platform'!N13&lt;=MIN(Range!$A$2:$A$12),0,IF('Aerial Platform'!N13&gt;=MAX(Range!$A$2:$A$12),1,(1/Range!$B$16)*(1-EXP(Range!$B$14*('Aerial Platform'!N13-MIN(Range!$A$2:$A$12))^Range!$B$15))))</f>
        <v>0</v>
      </c>
      <c r="O5" s="28">
        <f>'Tradeoff weights'!$D5*IF('Aerial Platform'!O13&lt;=MIN(Range!$A$2:$A$12),0,IF('Aerial Platform'!O13&gt;=MAX(Range!$A$2:$A$12),1,(1/Range!$B$16)*(1-EXP(Range!$B$14*('Aerial Platform'!O13-MIN(Range!$A$2:$A$12))^Range!$B$15))))</f>
        <v>0</v>
      </c>
      <c r="P5" s="28">
        <f>'Tradeoff weights'!$D5*IF('Aerial Platform'!P13&lt;=MIN(Range!$A$2:$A$12),0,IF('Aerial Platform'!P13&gt;=MAX(Range!$A$2:$A$12),1,(1/Range!$B$16)*(1-EXP(Range!$B$14*('Aerial Platform'!P13-MIN(Range!$A$2:$A$12))^Range!$B$15))))</f>
        <v>0</v>
      </c>
      <c r="Q5" s="28">
        <f>'Tradeoff weights'!$D5*IF('Aerial Platform'!Q13&lt;=MIN(Range!$A$2:$A$12),0,IF('Aerial Platform'!Q13&gt;=MAX(Range!$A$2:$A$12),1,(1/Range!$B$16)*(1-EXP(Range!$B$14*('Aerial Platform'!Q13-MIN(Range!$A$2:$A$12))^Range!$B$15))))</f>
        <v>0</v>
      </c>
      <c r="R5" s="28">
        <f>'Tradeoff weights'!$D5*IF('Aerial Platform'!R13&lt;=MIN(Range!$A$2:$A$12),0,IF('Aerial Platform'!R13&gt;=MAX(Range!$A$2:$A$12),1,(1/Range!$B$16)*(1-EXP(Range!$B$14*('Aerial Platform'!R13-MIN(Range!$A$2:$A$12))^Range!$B$15))))</f>
        <v>0</v>
      </c>
      <c r="S5" s="28">
        <f>'Tradeoff weights'!$D5*IF('Aerial Platform'!S13&lt;=MIN(Range!$A$2:$A$12),0,IF('Aerial Platform'!S13&gt;=MAX(Range!$A$2:$A$12),1,(1/Range!$B$16)*(1-EXP(Range!$B$14*('Aerial Platform'!S13-MIN(Range!$A$2:$A$12))^Range!$B$15))))</f>
        <v>0</v>
      </c>
      <c r="T5" s="28">
        <f>'Tradeoff weights'!$D5*IF('Aerial Platform'!T13&lt;=MIN(Range!$A$2:$A$12),0,IF('Aerial Platform'!T13&gt;=MAX(Range!$A$2:$A$12),1,(1/Range!$B$16)*(1-EXP(Range!$B$14*('Aerial Platform'!T13-MIN(Range!$A$2:$A$12))^Range!$B$15))))</f>
        <v>0</v>
      </c>
      <c r="U5" s="28">
        <f>'Tradeoff weights'!$D5*IF('Aerial Platform'!U13&lt;=MIN(Range!$A$2:$A$12),0,IF('Aerial Platform'!U13&gt;=MAX(Range!$A$2:$A$12),1,(1/Range!$B$16)*(1-EXP(Range!$B$14*('Aerial Platform'!U13-MIN(Range!$A$2:$A$12))^Range!$B$15))))</f>
        <v>0</v>
      </c>
      <c r="V5" s="28">
        <f>'Tradeoff weights'!$D5*IF('Aerial Platform'!V13&lt;=MIN(Range!$A$2:$A$12),0,IF('Aerial Platform'!V13&gt;=MAX(Range!$A$2:$A$12),1,(1/Range!$B$16)*(1-EXP(Range!$B$14*('Aerial Platform'!V13-MIN(Range!$A$2:$A$12))^Range!$B$15))))</f>
        <v>0</v>
      </c>
      <c r="W5" s="28">
        <f>'Tradeoff weights'!$D5*IF('Aerial Platform'!W13&lt;=MIN(Range!$A$2:$A$12),0,IF('Aerial Platform'!W13&gt;=MAX(Range!$A$2:$A$12),1,(1/Range!$B$16)*(1-EXP(Range!$B$14*('Aerial Platform'!W13-MIN(Range!$A$2:$A$12))^Range!$B$15))))</f>
        <v>0</v>
      </c>
      <c r="X5" s="28">
        <f>'Tradeoff weights'!$D5*IF('Aerial Platform'!X13&lt;=MIN(Range!$A$2:$A$12),0,IF('Aerial Platform'!X13&gt;=MAX(Range!$A$2:$A$12),1,(1/Range!$B$16)*(1-EXP(Range!$B$14*('Aerial Platform'!X13-MIN(Range!$A$2:$A$12))^Range!$B$15))))</f>
        <v>0</v>
      </c>
      <c r="Y5" s="28">
        <f>'Tradeoff weights'!$D5*IF('Aerial Platform'!Y13&lt;=MIN(Range!$A$2:$A$12),0,IF('Aerial Platform'!Y13&gt;=MAX(Range!$A$2:$A$12),1,(1/Range!$B$16)*(1-EXP(Range!$B$14*('Aerial Platform'!Y13-MIN(Range!$A$2:$A$12))^Range!$B$15))))</f>
        <v>0</v>
      </c>
    </row>
    <row r="6" spans="1:25" x14ac:dyDescent="0.25">
      <c r="A6" t="str">
        <f>'Tradeoff weights'!A6</f>
        <v>Cruise speed</v>
      </c>
      <c r="B6" s="28">
        <f>'Tradeoff weights'!$D6*IF('Aerial Platform'!B14&lt;=MIN('Cruise speed'!$A$2:$A$12),0,IF('Aerial Platform'!B14&gt;=MAX('Cruise speed'!$A$2:$A$12),1,(1/'Cruise speed'!$B$16)*(1-EXP('Cruise speed'!$B$14*('Aerial Platform'!B14-MIN('Cruise speed'!$A$2:$A$12))^'Cruise speed'!$B$15))))</f>
        <v>0</v>
      </c>
      <c r="C6" s="28">
        <f>'Tradeoff weights'!$D6*IF('Aerial Platform'!C14&lt;=MIN('Cruise speed'!$A$2:$A$12),0,IF('Aerial Platform'!C14&gt;=MAX('Cruise speed'!$A$2:$A$12),1,(1/'Cruise speed'!$B$16)*(1-EXP('Cruise speed'!$B$14*('Aerial Platform'!C14-MIN('Cruise speed'!$A$2:$A$12))^'Cruise speed'!$B$15))))</f>
        <v>0</v>
      </c>
      <c r="D6" s="28">
        <f>'Tradeoff weights'!$D6*IF('Aerial Platform'!D14&lt;=MIN('Cruise speed'!$A$2:$A$12),0,IF('Aerial Platform'!D14&gt;=MAX('Cruise speed'!$A$2:$A$12),1,(1/'Cruise speed'!$B$16)*(1-EXP('Cruise speed'!$B$14*('Aerial Platform'!D14-MIN('Cruise speed'!$A$2:$A$12))^'Cruise speed'!$B$15))))</f>
        <v>0</v>
      </c>
      <c r="E6" s="28">
        <f>'Tradeoff weights'!$D6*IF('Aerial Platform'!E14&lt;=MIN('Cruise speed'!$A$2:$A$12),0,IF('Aerial Platform'!E14&gt;=MAX('Cruise speed'!$A$2:$A$12),1,(1/'Cruise speed'!$B$16)*(1-EXP('Cruise speed'!$B$14*('Aerial Platform'!E14-MIN('Cruise speed'!$A$2:$A$12))^'Cruise speed'!$B$15))))</f>
        <v>0</v>
      </c>
      <c r="F6" s="28">
        <f>'Tradeoff weights'!$D6*IF('Aerial Platform'!F14&lt;=MIN('Cruise speed'!$A$2:$A$12),0,IF('Aerial Platform'!F14&gt;=MAX('Cruise speed'!$A$2:$A$12),1,(1/'Cruise speed'!$B$16)*(1-EXP('Cruise speed'!$B$14*('Aerial Platform'!F14-MIN('Cruise speed'!$A$2:$A$12))^'Cruise speed'!$B$15))))</f>
        <v>0</v>
      </c>
      <c r="G6" s="28">
        <f>'Tradeoff weights'!$D6*IF('Aerial Platform'!G14&lt;=MIN('Cruise speed'!$A$2:$A$12),0,IF('Aerial Platform'!G14&gt;=MAX('Cruise speed'!$A$2:$A$12),1,(1/'Cruise speed'!$B$16)*(1-EXP('Cruise speed'!$B$14*('Aerial Platform'!G14-MIN('Cruise speed'!$A$2:$A$12))^'Cruise speed'!$B$15))))</f>
        <v>0</v>
      </c>
      <c r="H6" s="28">
        <f>'Tradeoff weights'!$D6*IF('Aerial Platform'!H14&lt;=MIN('Cruise speed'!$A$2:$A$12),0,IF('Aerial Platform'!H14&gt;=MAX('Cruise speed'!$A$2:$A$12),1,(1/'Cruise speed'!$B$16)*(1-EXP('Cruise speed'!$B$14*('Aerial Platform'!H14-MIN('Cruise speed'!$A$2:$A$12))^'Cruise speed'!$B$15))))</f>
        <v>0</v>
      </c>
      <c r="I6" s="28">
        <f>'Tradeoff weights'!$D6*IF('Aerial Platform'!I14&lt;=MIN('Cruise speed'!$A$2:$A$12),0,IF('Aerial Platform'!I14&gt;=MAX('Cruise speed'!$A$2:$A$12),1,(1/'Cruise speed'!$B$16)*(1-EXP('Cruise speed'!$B$14*('Aerial Platform'!I14-MIN('Cruise speed'!$A$2:$A$12))^'Cruise speed'!$B$15))))</f>
        <v>0</v>
      </c>
      <c r="J6" s="28">
        <f>'Tradeoff weights'!$D6*IF('Aerial Platform'!J14&lt;=MIN('Cruise speed'!$A$2:$A$12),0,IF('Aerial Platform'!J14&gt;=MAX('Cruise speed'!$A$2:$A$12),1,(1/'Cruise speed'!$B$16)*(1-EXP('Cruise speed'!$B$14*('Aerial Platform'!J14-MIN('Cruise speed'!$A$2:$A$12))^'Cruise speed'!$B$15))))</f>
        <v>0</v>
      </c>
      <c r="K6" s="28">
        <f>'Tradeoff weights'!$D6*IF('Aerial Platform'!K14&lt;=MIN('Cruise speed'!$A$2:$A$12),0,IF('Aerial Platform'!K14&gt;=MAX('Cruise speed'!$A$2:$A$12),1,(1/'Cruise speed'!$B$16)*(1-EXP('Cruise speed'!$B$14*('Aerial Platform'!K14-MIN('Cruise speed'!$A$2:$A$12))^'Cruise speed'!$B$15))))</f>
        <v>0</v>
      </c>
      <c r="L6" s="28">
        <f>'Tradeoff weights'!$D6*IF('Aerial Platform'!L14&lt;=MIN('Cruise speed'!$A$2:$A$12),0,IF('Aerial Platform'!L14&gt;=MAX('Cruise speed'!$A$2:$A$12),1,(1/'Cruise speed'!$B$16)*(1-EXP('Cruise speed'!$B$14*('Aerial Platform'!L14-MIN('Cruise speed'!$A$2:$A$12))^'Cruise speed'!$B$15))))</f>
        <v>0</v>
      </c>
      <c r="M6" s="28">
        <f>'Tradeoff weights'!$D6*IF('Aerial Platform'!M14&lt;=MIN('Cruise speed'!$A$2:$A$12),0,IF('Aerial Platform'!M14&gt;=MAX('Cruise speed'!$A$2:$A$12),1,(1/'Cruise speed'!$B$16)*(1-EXP('Cruise speed'!$B$14*('Aerial Platform'!M14-MIN('Cruise speed'!$A$2:$A$12))^'Cruise speed'!$B$15))))</f>
        <v>0</v>
      </c>
      <c r="N6" s="28">
        <f>'Tradeoff weights'!$D6*IF('Aerial Platform'!N14&lt;=MIN('Cruise speed'!$A$2:$A$12),0,IF('Aerial Platform'!N14&gt;=MAX('Cruise speed'!$A$2:$A$12),1,(1/'Cruise speed'!$B$16)*(1-EXP('Cruise speed'!$B$14*('Aerial Platform'!N14-MIN('Cruise speed'!$A$2:$A$12))^'Cruise speed'!$B$15))))</f>
        <v>0</v>
      </c>
      <c r="O6" s="28">
        <f>'Tradeoff weights'!$D6*IF('Aerial Platform'!O14&lt;=MIN('Cruise speed'!$A$2:$A$12),0,IF('Aerial Platform'!O14&gt;=MAX('Cruise speed'!$A$2:$A$12),1,(1/'Cruise speed'!$B$16)*(1-EXP('Cruise speed'!$B$14*('Aerial Platform'!O14-MIN('Cruise speed'!$A$2:$A$12))^'Cruise speed'!$B$15))))</f>
        <v>0</v>
      </c>
      <c r="P6" s="28">
        <f>'Tradeoff weights'!$D6*IF('Aerial Platform'!P14&lt;=MIN('Cruise speed'!$A$2:$A$12),0,IF('Aerial Platform'!P14&gt;=MAX('Cruise speed'!$A$2:$A$12),1,(1/'Cruise speed'!$B$16)*(1-EXP('Cruise speed'!$B$14*('Aerial Platform'!P14-MIN('Cruise speed'!$A$2:$A$12))^'Cruise speed'!$B$15))))</f>
        <v>0</v>
      </c>
      <c r="Q6" s="28">
        <f>'Tradeoff weights'!$D6*IF('Aerial Platform'!Q14&lt;=MIN('Cruise speed'!$A$2:$A$12),0,IF('Aerial Platform'!Q14&gt;=MAX('Cruise speed'!$A$2:$A$12),1,(1/'Cruise speed'!$B$16)*(1-EXP('Cruise speed'!$B$14*('Aerial Platform'!Q14-MIN('Cruise speed'!$A$2:$A$12))^'Cruise speed'!$B$15))))</f>
        <v>0</v>
      </c>
      <c r="R6" s="28">
        <f>'Tradeoff weights'!$D6*IF('Aerial Platform'!R14&lt;=MIN('Cruise speed'!$A$2:$A$12),0,IF('Aerial Platform'!R14&gt;=MAX('Cruise speed'!$A$2:$A$12),1,(1/'Cruise speed'!$B$16)*(1-EXP('Cruise speed'!$B$14*('Aerial Platform'!R14-MIN('Cruise speed'!$A$2:$A$12))^'Cruise speed'!$B$15))))</f>
        <v>0</v>
      </c>
      <c r="S6" s="28">
        <f>'Tradeoff weights'!$D6*IF('Aerial Platform'!S14&lt;=MIN('Cruise speed'!$A$2:$A$12),0,IF('Aerial Platform'!S14&gt;=MAX('Cruise speed'!$A$2:$A$12),1,(1/'Cruise speed'!$B$16)*(1-EXP('Cruise speed'!$B$14*('Aerial Platform'!S14-MIN('Cruise speed'!$A$2:$A$12))^'Cruise speed'!$B$15))))</f>
        <v>0</v>
      </c>
      <c r="T6" s="28">
        <f>'Tradeoff weights'!$D6*IF('Aerial Platform'!T14&lt;=MIN('Cruise speed'!$A$2:$A$12),0,IF('Aerial Platform'!T14&gt;=MAX('Cruise speed'!$A$2:$A$12),1,(1/'Cruise speed'!$B$16)*(1-EXP('Cruise speed'!$B$14*('Aerial Platform'!T14-MIN('Cruise speed'!$A$2:$A$12))^'Cruise speed'!$B$15))))</f>
        <v>0</v>
      </c>
      <c r="U6" s="28">
        <f>'Tradeoff weights'!$D6*IF('Aerial Platform'!U14&lt;=MIN('Cruise speed'!$A$2:$A$12),0,IF('Aerial Platform'!U14&gt;=MAX('Cruise speed'!$A$2:$A$12),1,(1/'Cruise speed'!$B$16)*(1-EXP('Cruise speed'!$B$14*('Aerial Platform'!U14-MIN('Cruise speed'!$A$2:$A$12))^'Cruise speed'!$B$15))))</f>
        <v>0</v>
      </c>
      <c r="V6" s="28">
        <f>'Tradeoff weights'!$D6*IF('Aerial Platform'!V14&lt;=MIN('Cruise speed'!$A$2:$A$12),0,IF('Aerial Platform'!V14&gt;=MAX('Cruise speed'!$A$2:$A$12),1,(1/'Cruise speed'!$B$16)*(1-EXP('Cruise speed'!$B$14*('Aerial Platform'!V14-MIN('Cruise speed'!$A$2:$A$12))^'Cruise speed'!$B$15))))</f>
        <v>0</v>
      </c>
      <c r="W6" s="28">
        <f>'Tradeoff weights'!$D6*IF('Aerial Platform'!W14&lt;=MIN('Cruise speed'!$A$2:$A$12),0,IF('Aerial Platform'!W14&gt;=MAX('Cruise speed'!$A$2:$A$12),1,(1/'Cruise speed'!$B$16)*(1-EXP('Cruise speed'!$B$14*('Aerial Platform'!W14-MIN('Cruise speed'!$A$2:$A$12))^'Cruise speed'!$B$15))))</f>
        <v>0</v>
      </c>
      <c r="X6" s="28">
        <f>'Tradeoff weights'!$D6*IF('Aerial Platform'!X14&lt;=MIN('Cruise speed'!$A$2:$A$12),0,IF('Aerial Platform'!X14&gt;=MAX('Cruise speed'!$A$2:$A$12),1,(1/'Cruise speed'!$B$16)*(1-EXP('Cruise speed'!$B$14*('Aerial Platform'!X14-MIN('Cruise speed'!$A$2:$A$12))^'Cruise speed'!$B$15))))</f>
        <v>0</v>
      </c>
      <c r="Y6" s="28">
        <f>'Tradeoff weights'!$D6*IF('Aerial Platform'!Y14&lt;=MIN('Cruise speed'!$A$2:$A$12),0,IF('Aerial Platform'!Y14&gt;=MAX('Cruise speed'!$A$2:$A$12),1,(1/'Cruise speed'!$B$16)*(1-EXP('Cruise speed'!$B$14*('Aerial Platform'!Y14-MIN('Cruise speed'!$A$2:$A$12))^'Cruise speed'!$B$15))))</f>
        <v>0</v>
      </c>
    </row>
    <row r="7" spans="1:25" x14ac:dyDescent="0.25">
      <c r="A7" t="str">
        <f>'Tradeoff weights'!A7</f>
        <v>Observability</v>
      </c>
      <c r="B7" s="28">
        <f>'Tradeoff weights'!$D7*IF('Aerial Platform'!B34&lt;=MIN(Observability!$A$2:$A$12),1,IF('Aerial Platform'!B34&gt;=MAX(Observability!$A$2:$A$12),0,(1/Observability!$B$16)*(1-EXP(Observability!$B$14*(MAX(Observability!$A$2:$A$12)-'Aerial Platform'!B34)^Observability!$B$15))))</f>
        <v>4.3000066050872796E-2</v>
      </c>
      <c r="C7" s="28">
        <f>'Tradeoff weights'!$D7*IF('Aerial Platform'!C34&lt;=MIN(Observability!$A$2:$A$12),1,IF('Aerial Platform'!C34&gt;=MAX(Observability!$A$2:$A$12),0,(1/Observability!$B$16)*(1-EXP(Observability!$B$14*(MAX(Observability!$A$2:$A$12)-'Aerial Platform'!C34)^Observability!$B$15))))</f>
        <v>6.0013351809419399E-2</v>
      </c>
      <c r="D7" s="28">
        <f>'Tradeoff weights'!$D7*IF('Aerial Platform'!D34&lt;=MIN(Observability!$A$2:$A$12),1,IF('Aerial Platform'!D34&gt;=MAX(Observability!$A$2:$A$12),0,(1/Observability!$B$16)*(1-EXP(Observability!$B$14*(MAX(Observability!$A$2:$A$12)-'Aerial Platform'!D34)^Observability!$B$15))))</f>
        <v>6.9080390721554724E-2</v>
      </c>
      <c r="E7" s="28">
        <f>'Tradeoff weights'!$D7*IF('Aerial Platform'!E34&lt;=MIN(Observability!$A$2:$A$12),1,IF('Aerial Platform'!E34&gt;=MAX(Observability!$A$2:$A$12),0,(1/Observability!$B$16)*(1-EXP(Observability!$B$14*(MAX(Observability!$A$2:$A$12)-'Aerial Platform'!E34)^Observability!$B$15))))</f>
        <v>4.4159736886007765E-2</v>
      </c>
      <c r="F7" s="28">
        <f>'Tradeoff weights'!$D7*IF('Aerial Platform'!F34&lt;=MIN(Observability!$A$2:$A$12),1,IF('Aerial Platform'!F34&gt;=MAX(Observability!$A$2:$A$12),0,(1/Observability!$B$16)*(1-EXP(Observability!$B$14*(MAX(Observability!$A$2:$A$12)-'Aerial Platform'!F34)^Observability!$B$15))))</f>
        <v>3.5611040709808556E-2</v>
      </c>
      <c r="G7" s="28">
        <f>'Tradeoff weights'!$D7*IF('Aerial Platform'!G34&lt;=MIN(Observability!$A$2:$A$12),1,IF('Aerial Platform'!G34&gt;=MAX(Observability!$A$2:$A$12),0,(1/Observability!$B$16)*(1-EXP(Observability!$B$14*(MAX(Observability!$A$2:$A$12)-'Aerial Platform'!G34)^Observability!$B$15))))</f>
        <v>9.6133836772631792E-2</v>
      </c>
      <c r="H7" s="28">
        <f>'Tradeoff weights'!$D7*IF('Aerial Platform'!H34&lt;=MIN(Observability!$A$2:$A$12),1,IF('Aerial Platform'!H34&gt;=MAX(Observability!$A$2:$A$12),0,(1/Observability!$B$16)*(1-EXP(Observability!$B$14*(MAX(Observability!$A$2:$A$12)-'Aerial Platform'!H34)^Observability!$B$15))))</f>
        <v>8.7183336113825408E-2</v>
      </c>
      <c r="I7" s="28">
        <f>'Tradeoff weights'!$D7*IF('Aerial Platform'!I34&lt;=MIN(Observability!$A$2:$A$12),1,IF('Aerial Platform'!I34&gt;=MAX(Observability!$A$2:$A$12),0,(1/Observability!$B$16)*(1-EXP(Observability!$B$14*(MAX(Observability!$A$2:$A$12)-'Aerial Platform'!I34)^Observability!$B$15))))</f>
        <v>9.8664021000091917E-2</v>
      </c>
      <c r="J7" s="28">
        <f>'Tradeoff weights'!$D7*IF('Aerial Platform'!J34&lt;=MIN(Observability!$A$2:$A$12),1,IF('Aerial Platform'!J34&gt;=MAX(Observability!$A$2:$A$12),0,(1/Observability!$B$16)*(1-EXP(Observability!$B$14*(MAX(Observability!$A$2:$A$12)-'Aerial Platform'!J34)^Observability!$B$15))))</f>
        <v>0.16182819555143968</v>
      </c>
      <c r="K7" s="28">
        <f>'Tradeoff weights'!$D7*IF('Aerial Platform'!K34&lt;=MIN(Observability!$A$2:$A$12),1,IF('Aerial Platform'!K34&gt;=MAX(Observability!$A$2:$A$12),0,(1/Observability!$B$16)*(1-EXP(Observability!$B$14*(MAX(Observability!$A$2:$A$12)-'Aerial Platform'!K34)^Observability!$B$15))))</f>
        <v>0.12681229908107575</v>
      </c>
      <c r="L7" s="28">
        <f>'Tradeoff weights'!$D7*IF('Aerial Platform'!L34&lt;=MIN(Observability!$A$2:$A$12),1,IF('Aerial Platform'!L34&gt;=MAX(Observability!$A$2:$A$12),0,(1/Observability!$B$16)*(1-EXP(Observability!$B$14*(MAX(Observability!$A$2:$A$12)-'Aerial Platform'!L34)^Observability!$B$15))))</f>
        <v>1.7698297317449346E-2</v>
      </c>
      <c r="M7" s="28">
        <f>'Tradeoff weights'!$D7*IF('Aerial Platform'!M34&lt;=MIN(Observability!$A$2:$A$12),1,IF('Aerial Platform'!M34&gt;=MAX(Observability!$A$2:$A$12),0,(1/Observability!$B$16)*(1-EXP(Observability!$B$14*(MAX(Observability!$A$2:$A$12)-'Aerial Platform'!M34)^Observability!$B$15))))</f>
        <v>6.8301859298022224E-2</v>
      </c>
      <c r="N7" s="28">
        <f>'Tradeoff weights'!$D7*IF('Aerial Platform'!N34&lt;=MIN(Observability!$A$2:$A$12),1,IF('Aerial Platform'!N34&gt;=MAX(Observability!$A$2:$A$12),0,(1/Observability!$B$16)*(1-EXP(Observability!$B$14*(MAX(Observability!$A$2:$A$12)-'Aerial Platform'!N34)^Observability!$B$15))))</f>
        <v>0.14167710383946233</v>
      </c>
      <c r="O7" s="28">
        <f>'Tradeoff weights'!$D7*IF('Aerial Platform'!O34&lt;=MIN(Observability!$A$2:$A$12),1,IF('Aerial Platform'!O34&gt;=MAX(Observability!$A$2:$A$12),0,(1/Observability!$B$16)*(1-EXP(Observability!$B$14*(MAX(Observability!$A$2:$A$12)-'Aerial Platform'!O34)^Observability!$B$15))))</f>
        <v>0.13025885541327759</v>
      </c>
      <c r="P7" s="28">
        <f>'Tradeoff weights'!$D7*IF('Aerial Platform'!P34&lt;=MIN(Observability!$A$2:$A$12),1,IF('Aerial Platform'!P34&gt;=MAX(Observability!$A$2:$A$12),0,(1/Observability!$B$16)*(1-EXP(Observability!$B$14*(MAX(Observability!$A$2:$A$12)-'Aerial Platform'!P34)^Observability!$B$15))))</f>
        <v>8.3957354288029473E-2</v>
      </c>
      <c r="Q7" s="28">
        <f>'Tradeoff weights'!$D7*IF('Aerial Platform'!Q34&lt;=MIN(Observability!$A$2:$A$12),1,IF('Aerial Platform'!Q34&gt;=MAX(Observability!$A$2:$A$12),0,(1/Observability!$B$16)*(1-EXP(Observability!$B$14*(MAX(Observability!$A$2:$A$12)-'Aerial Platform'!Q34)^Observability!$B$15))))</f>
        <v>3.6674617739085431E-2</v>
      </c>
      <c r="R7" s="28">
        <f>'Tradeoff weights'!$D7*IF('Aerial Platform'!R34&lt;=MIN(Observability!$A$2:$A$12),1,IF('Aerial Platform'!R34&gt;=MAX(Observability!$A$2:$A$12),0,(1/Observability!$B$16)*(1-EXP(Observability!$B$14*(MAX(Observability!$A$2:$A$12)-'Aerial Platform'!R34)^Observability!$B$15))))</f>
        <v>0</v>
      </c>
      <c r="S7" s="28">
        <f>'Tradeoff weights'!$D7*IF('Aerial Platform'!S34&lt;=MIN(Observability!$A$2:$A$12),1,IF('Aerial Platform'!S34&gt;=MAX(Observability!$A$2:$A$12),0,(1/Observability!$B$16)*(1-EXP(Observability!$B$14*(MAX(Observability!$A$2:$A$12)-'Aerial Platform'!S34)^Observability!$B$15))))</f>
        <v>0.14907301753752814</v>
      </c>
      <c r="T7" s="28">
        <f>'Tradeoff weights'!$D7*IF('Aerial Platform'!T34&lt;=MIN(Observability!$A$2:$A$12),1,IF('Aerial Platform'!T34&gt;=MAX(Observability!$A$2:$A$12),0,(1/Observability!$B$16)*(1-EXP(Observability!$B$14*(MAX(Observability!$A$2:$A$12)-'Aerial Platform'!T34)^Observability!$B$15))))</f>
        <v>0.12396583876096734</v>
      </c>
      <c r="U7" s="28">
        <f>'Tradeoff weights'!$D7*IF('Aerial Platform'!U34&lt;=MIN(Observability!$A$2:$A$12),1,IF('Aerial Platform'!U34&gt;=MAX(Observability!$A$2:$A$12),0,(1/Observability!$B$16)*(1-EXP(Observability!$B$14*(MAX(Observability!$A$2:$A$12)-'Aerial Platform'!U34)^Observability!$B$15))))</f>
        <v>0</v>
      </c>
      <c r="V7" s="28">
        <f>'Tradeoff weights'!$D7*IF('Aerial Platform'!V34&lt;=MIN(Observability!$A$2:$A$12),1,IF('Aerial Platform'!V34&gt;=MAX(Observability!$A$2:$A$12),0,(1/Observability!$B$16)*(1-EXP(Observability!$B$14*(MAX(Observability!$A$2:$A$12)-'Aerial Platform'!V34)^Observability!$B$15))))</f>
        <v>0</v>
      </c>
      <c r="W7" s="28">
        <f>'Tradeoff weights'!$D7*IF('Aerial Platform'!W34&lt;=MIN(Observability!$A$2:$A$12),1,IF('Aerial Platform'!W34&gt;=MAX(Observability!$A$2:$A$12),0,(1/Observability!$B$16)*(1-EXP(Observability!$B$14*(MAX(Observability!$A$2:$A$12)-'Aerial Platform'!W34)^Observability!$B$15))))</f>
        <v>0</v>
      </c>
      <c r="X7" s="28">
        <f>'Tradeoff weights'!$D7*IF('Aerial Platform'!X34&lt;=MIN(Observability!$A$2:$A$12),1,IF('Aerial Platform'!X34&gt;=MAX(Observability!$A$2:$A$12),0,(1/Observability!$B$16)*(1-EXP(Observability!$B$14*(MAX(Observability!$A$2:$A$12)-'Aerial Platform'!X34)^Observability!$B$15))))</f>
        <v>0</v>
      </c>
      <c r="Y7" s="28">
        <f>'Tradeoff weights'!$D7*IF('Aerial Platform'!Y34&lt;=MIN(Observability!$A$2:$A$12),1,IF('Aerial Platform'!Y34&gt;=MAX(Observability!$A$2:$A$12),0,(1/Observability!$B$16)*(1-EXP(Observability!$B$14*('Aerial Platform'!Y34-MAX(Observability!$A$2:$A$12))^Observability!$B$15))))</f>
        <v>-9.8664021000091917E-2</v>
      </c>
    </row>
    <row r="8" spans="1:25" x14ac:dyDescent="0.25">
      <c r="A8" t="str">
        <f>'Tradeoff weights'!A8</f>
        <v>Stealth</v>
      </c>
      <c r="B8" s="28">
        <f>'Tradeoff weights'!$D8*IF(EXACT('Aerial Platform'!B24,Stealth!$A$2),Stealth!$B$2,Stealth!$B$3)</f>
        <v>0</v>
      </c>
      <c r="C8" s="28">
        <f>'Tradeoff weights'!$D8*IF(EXACT('Aerial Platform'!C24,Stealth!$A$2),Stealth!$B$2,Stealth!$B$3)</f>
        <v>0</v>
      </c>
      <c r="D8" s="28">
        <f>'Tradeoff weights'!$D8*IF(EXACT('Aerial Platform'!D24,Stealth!$A$2),Stealth!$B$2,Stealth!$B$3)</f>
        <v>0</v>
      </c>
      <c r="E8" s="28">
        <f>'Tradeoff weights'!$D8*IF(EXACT('Aerial Platform'!E24,Stealth!$A$2),Stealth!$B$2,Stealth!$B$3)</f>
        <v>0</v>
      </c>
      <c r="F8" s="28">
        <f>'Tradeoff weights'!$D8*IF(EXACT('Aerial Platform'!F24,Stealth!$A$2),Stealth!$B$2,Stealth!$B$3)</f>
        <v>0</v>
      </c>
      <c r="G8" s="28">
        <f>'Tradeoff weights'!$D8*IF(EXACT('Aerial Platform'!G24,Stealth!$A$2),Stealth!$B$2,Stealth!$B$3)</f>
        <v>0</v>
      </c>
      <c r="H8" s="28">
        <f>'Tradeoff weights'!$D8*IF(EXACT('Aerial Platform'!H24,Stealth!$A$2),Stealth!$B$2,Stealth!$B$3)</f>
        <v>0</v>
      </c>
      <c r="I8" s="28">
        <f>'Tradeoff weights'!$D8*IF(EXACT('Aerial Platform'!I24,Stealth!$A$2),Stealth!$B$2,Stealth!$B$3)</f>
        <v>0</v>
      </c>
      <c r="J8" s="28">
        <f>'Tradeoff weights'!$D8*IF(EXACT('Aerial Platform'!J24,Stealth!$A$2),Stealth!$B$2,Stealth!$B$3)</f>
        <v>0</v>
      </c>
      <c r="K8" s="28">
        <f>'Tradeoff weights'!$D8*IF(EXACT('Aerial Platform'!K24,Stealth!$A$2),Stealth!$B$2,Stealth!$B$3)</f>
        <v>0</v>
      </c>
      <c r="L8" s="28">
        <f>'Tradeoff weights'!$D8*IF(EXACT('Aerial Platform'!L24,Stealth!$A$2),Stealth!$B$2,Stealth!$B$3)</f>
        <v>0</v>
      </c>
      <c r="M8" s="28">
        <f>'Tradeoff weights'!$D8*IF(EXACT('Aerial Platform'!M24,Stealth!$A$2),Stealth!$B$2,Stealth!$B$3)</f>
        <v>0</v>
      </c>
      <c r="N8" s="28">
        <f>'Tradeoff weights'!$D8*IF(EXACT('Aerial Platform'!N24,Stealth!$A$2),Stealth!$B$2,Stealth!$B$3)</f>
        <v>0</v>
      </c>
      <c r="O8" s="28">
        <f>'Tradeoff weights'!$D8*IF(EXACT('Aerial Platform'!O24,Stealth!$A$2),Stealth!$B$2,Stealth!$B$3)</f>
        <v>0</v>
      </c>
      <c r="P8" s="28">
        <f>'Tradeoff weights'!$D8*IF(EXACT('Aerial Platform'!P24,Stealth!$A$2),Stealth!$B$2,Stealth!$B$3)</f>
        <v>4.1399999999999999E-2</v>
      </c>
      <c r="Q8" s="28">
        <f>'Tradeoff weights'!$D8*IF(EXACT('Aerial Platform'!Q24,Stealth!$A$2),Stealth!$B$2,Stealth!$B$3)</f>
        <v>0</v>
      </c>
      <c r="R8" s="28">
        <f>'Tradeoff weights'!$D8*IF(EXACT('Aerial Platform'!R24,Stealth!$A$2),Stealth!$B$2,Stealth!$B$3)</f>
        <v>0</v>
      </c>
      <c r="S8" s="28">
        <f>'Tradeoff weights'!$D8*IF(EXACT('Aerial Platform'!S24,Stealth!$A$2),Stealth!$B$2,Stealth!$B$3)</f>
        <v>0</v>
      </c>
      <c r="T8" s="28">
        <f>'Tradeoff weights'!$D8*IF(EXACT('Aerial Platform'!T24,Stealth!$A$2),Stealth!$B$2,Stealth!$B$3)</f>
        <v>0</v>
      </c>
      <c r="U8" s="28">
        <f>'Tradeoff weights'!$D8*IF(EXACT('Aerial Platform'!U24,Stealth!$A$2),Stealth!$B$2,Stealth!$B$3)</f>
        <v>0</v>
      </c>
      <c r="V8" s="28">
        <f>'Tradeoff weights'!$D8*IF(EXACT('Aerial Platform'!V24,Stealth!$A$2),Stealth!$B$2,Stealth!$B$3)</f>
        <v>0</v>
      </c>
      <c r="W8" s="28">
        <f>'Tradeoff weights'!$D8*IF(EXACT('Aerial Platform'!W24,Stealth!$A$2),Stealth!$B$2,Stealth!$B$3)</f>
        <v>0</v>
      </c>
      <c r="X8" s="28">
        <f>'Tradeoff weights'!$D8*IF(EXACT('Aerial Platform'!X24,Stealth!$A$2),Stealth!$B$2,Stealth!$B$3)</f>
        <v>0</v>
      </c>
      <c r="Y8" s="28">
        <f>'Tradeoff weights'!$D8*IF(EXACT('Aerial Platform'!Y24,Stealth!$A$2),Stealth!$B$2,Stealth!$B$3)</f>
        <v>4.1399999999999999E-2</v>
      </c>
    </row>
    <row r="9" spans="1:25" x14ac:dyDescent="0.25">
      <c r="A9" t="str">
        <f>'Tradeoff weights'!A9</f>
        <v>Technology maturity level</v>
      </c>
      <c r="B9" s="28">
        <f>'Tradeoff weights'!$D9*IF('Aerial Platform'!B26&lt;=MIN('Technology maturity'!$A$2:$A$12),0,IF('Aerial Platform'!B26&gt;=MAX('Technology maturity'!$A$2:$A$12),1,(1/'Technology maturity'!$B$16)*(1-EXP('Technology maturity'!$B$14*('Aerial Platform'!B26-MIN('Technology maturity'!$A$2:$A$12))^'Technology maturity'!$B$15))))</f>
        <v>0.13800000000000001</v>
      </c>
      <c r="C9" s="28">
        <f>'Tradeoff weights'!$D9*IF('Aerial Platform'!C26&lt;=MIN('Technology maturity'!$A$2:$A$12),0,IF('Aerial Platform'!C26&gt;=MAX('Technology maturity'!$A$2:$A$12),1,(1/'Technology maturity'!$B$16)*(1-EXP('Technology maturity'!$B$14*('Aerial Platform'!C26-MIN('Technology maturity'!$A$2:$A$12))^'Technology maturity'!$B$15))))</f>
        <v>6.9000001685318654E-2</v>
      </c>
      <c r="D9" s="28">
        <f>'Tradeoff weights'!$D9*IF('Aerial Platform'!D26&lt;=MIN('Technology maturity'!$A$2:$A$12),0,IF('Aerial Platform'!D26&gt;=MAX('Technology maturity'!$A$2:$A$12),1,(1/'Technology maturity'!$B$16)*(1-EXP('Technology maturity'!$B$14*('Aerial Platform'!D26-MIN('Technology maturity'!$A$2:$A$12))^'Technology maturity'!$B$15))))</f>
        <v>0.13800000000000001</v>
      </c>
      <c r="E9" s="28">
        <f>'Tradeoff weights'!$D9*IF('Aerial Platform'!E26&lt;=MIN('Technology maturity'!$A$2:$A$12),0,IF('Aerial Platform'!E26&gt;=MAX('Technology maturity'!$A$2:$A$12),1,(1/'Technology maturity'!$B$16)*(1-EXP('Technology maturity'!$B$14*('Aerial Platform'!E26-MIN('Technology maturity'!$A$2:$A$12))^'Technology maturity'!$B$15))))</f>
        <v>0.13800000000000001</v>
      </c>
      <c r="F9" s="28">
        <f>'Tradeoff weights'!$D9*IF('Aerial Platform'!F26&lt;=MIN('Technology maturity'!$A$2:$A$12),0,IF('Aerial Platform'!F26&gt;=MAX('Technology maturity'!$A$2:$A$12),1,(1/'Technology maturity'!$B$16)*(1-EXP('Technology maturity'!$B$14*('Aerial Platform'!F26-MIN('Technology maturity'!$A$2:$A$12))^'Technology maturity'!$B$15))))</f>
        <v>2.76000010724755E-2</v>
      </c>
      <c r="G9" s="28">
        <f>'Tradeoff weights'!$D9*IF('Aerial Platform'!G26&lt;=MIN('Technology maturity'!$A$2:$A$12),0,IF('Aerial Platform'!G26&gt;=MAX('Technology maturity'!$A$2:$A$12),1,(1/'Technology maturity'!$B$16)*(1-EXP('Technology maturity'!$B$14*('Aerial Platform'!G26-MIN('Technology maturity'!$A$2:$A$12))^'Technology maturity'!$B$15))))</f>
        <v>0.13800000000000001</v>
      </c>
      <c r="H9" s="28">
        <f>'Tradeoff weights'!$D9*IF('Aerial Platform'!H26&lt;=MIN('Technology maturity'!$A$2:$A$12),0,IF('Aerial Platform'!H26&gt;=MAX('Technology maturity'!$A$2:$A$12),1,(1/'Technology maturity'!$B$16)*(1-EXP('Technology maturity'!$B$14*('Aerial Platform'!H26-MIN('Technology maturity'!$A$2:$A$12))^'Technology maturity'!$B$15))))</f>
        <v>0.1104000012256863</v>
      </c>
      <c r="I9" s="28">
        <f>'Tradeoff weights'!$D9*IF('Aerial Platform'!I26&lt;=MIN('Technology maturity'!$A$2:$A$12),0,IF('Aerial Platform'!I26&gt;=MAX('Technology maturity'!$A$2:$A$12),1,(1/'Technology maturity'!$B$16)*(1-EXP('Technology maturity'!$B$14*('Aerial Platform'!I26-MIN('Technology maturity'!$A$2:$A$12))^'Technology maturity'!$B$15))))</f>
        <v>0.1104000012256863</v>
      </c>
      <c r="J9" s="28">
        <f>'Tradeoff weights'!$D9*IF('Aerial Platform'!J26&lt;=MIN('Technology maturity'!$A$2:$A$12),0,IF('Aerial Platform'!J26&gt;=MAX('Technology maturity'!$A$2:$A$12),1,(1/'Technology maturity'!$B$16)*(1-EXP('Technology maturity'!$B$14*('Aerial Platform'!J26-MIN('Technology maturity'!$A$2:$A$12))^'Technology maturity'!$B$15))))</f>
        <v>0.13800000000000001</v>
      </c>
      <c r="K9" s="28">
        <f>'Tradeoff weights'!$D9*IF('Aerial Platform'!K26&lt;=MIN('Technology maturity'!$A$2:$A$12),0,IF('Aerial Platform'!K26&gt;=MAX('Technology maturity'!$A$2:$A$12),1,(1/'Technology maturity'!$B$16)*(1-EXP('Technology maturity'!$B$14*('Aerial Platform'!K26-MIN('Technology maturity'!$A$2:$A$12))^'Technology maturity'!$B$15))))</f>
        <v>0.13800000000000001</v>
      </c>
      <c r="L9" s="28">
        <f>'Tradeoff weights'!$D9*IF('Aerial Platform'!L26&lt;=MIN('Technology maturity'!$A$2:$A$12),0,IF('Aerial Platform'!L26&gt;=MAX('Technology maturity'!$A$2:$A$12),1,(1/'Technology maturity'!$B$16)*(1-EXP('Technology maturity'!$B$14*('Aerial Platform'!L26-MIN('Technology maturity'!$A$2:$A$12))^'Technology maturity'!$B$15))))</f>
        <v>9.6600001532107863E-2</v>
      </c>
      <c r="M9" s="28">
        <f>'Tradeoff weights'!$D9*IF('Aerial Platform'!M26&lt;=MIN('Technology maturity'!$A$2:$A$12),0,IF('Aerial Platform'!M26&gt;=MAX('Technology maturity'!$A$2:$A$12),1,(1/'Technology maturity'!$B$16)*(1-EXP('Technology maturity'!$B$14*('Aerial Platform'!M26-MIN('Technology maturity'!$A$2:$A$12))^'Technology maturity'!$B$15))))</f>
        <v>0.13800000000000001</v>
      </c>
      <c r="N9" s="28">
        <f>'Tradeoff weights'!$D9*IF('Aerial Platform'!N26&lt;=MIN('Technology maturity'!$A$2:$A$12),0,IF('Aerial Platform'!N26&gt;=MAX('Technology maturity'!$A$2:$A$12),1,(1/'Technology maturity'!$B$16)*(1-EXP('Technology maturity'!$B$14*('Aerial Platform'!N26-MIN('Technology maturity'!$A$2:$A$12))^'Technology maturity'!$B$15))))</f>
        <v>0.1104000012256863</v>
      </c>
      <c r="O9" s="28">
        <f>'Tradeoff weights'!$D9*IF('Aerial Platform'!O26&lt;=MIN('Technology maturity'!$A$2:$A$12),0,IF('Aerial Platform'!O26&gt;=MAX('Technology maturity'!$A$2:$A$12),1,(1/'Technology maturity'!$B$16)*(1-EXP('Technology maturity'!$B$14*('Aerial Platform'!O26-MIN('Technology maturity'!$A$2:$A$12))^'Technology maturity'!$B$15))))</f>
        <v>4.1400001532107863E-2</v>
      </c>
      <c r="P9" s="28">
        <f>'Tradeoff weights'!$D9*IF('Aerial Platform'!P26&lt;=MIN('Technology maturity'!$A$2:$A$12),0,IF('Aerial Platform'!P26&gt;=MAX('Technology maturity'!$A$2:$A$12),1,(1/'Technology maturity'!$B$16)*(1-EXP('Technology maturity'!$B$14*('Aerial Platform'!P26-MIN('Technology maturity'!$A$2:$A$12))^'Technology maturity'!$B$15))))</f>
        <v>0</v>
      </c>
      <c r="Q9" s="28">
        <f>'Tradeoff weights'!$D9*IF('Aerial Platform'!Q26&lt;=MIN('Technology maturity'!$A$2:$A$12),0,IF('Aerial Platform'!Q26&gt;=MAX('Technology maturity'!$A$2:$A$12),1,(1/'Technology maturity'!$B$16)*(1-EXP('Technology maturity'!$B$14*('Aerial Platform'!Q26-MIN('Technology maturity'!$A$2:$A$12))^'Technology maturity'!$B$15))))</f>
        <v>0.13800000000000001</v>
      </c>
      <c r="R9" s="28">
        <f>'Tradeoff weights'!$D9*IF('Aerial Platform'!R26&lt;=MIN('Technology maturity'!$A$2:$A$12),0,IF('Aerial Platform'!R26&gt;=MAX('Technology maturity'!$A$2:$A$12),1,(1/'Technology maturity'!$B$16)*(1-EXP('Technology maturity'!$B$14*('Aerial Platform'!R26-MIN('Technology maturity'!$A$2:$A$12))^'Technology maturity'!$B$15))))</f>
        <v>0.13800000000000001</v>
      </c>
      <c r="S9" s="28">
        <f>'Tradeoff weights'!$D9*IF('Aerial Platform'!S26&lt;=MIN('Technology maturity'!$A$2:$A$12),0,IF('Aerial Platform'!S26&gt;=MAX('Technology maturity'!$A$2:$A$12),1,(1/'Technology maturity'!$B$16)*(1-EXP('Technology maturity'!$B$14*('Aerial Platform'!S26-MIN('Technology maturity'!$A$2:$A$12))^'Technology maturity'!$B$15))))</f>
        <v>0.13800000000000001</v>
      </c>
      <c r="T9" s="28">
        <f>'Tradeoff weights'!$D9*IF('Aerial Platform'!T26&lt;=MIN('Technology maturity'!$A$2:$A$12),0,IF('Aerial Platform'!T26&gt;=MAX('Technology maturity'!$A$2:$A$12),1,(1/'Technology maturity'!$B$16)*(1-EXP('Technology maturity'!$B$14*('Aerial Platform'!T26-MIN('Technology maturity'!$A$2:$A$12))^'Technology maturity'!$B$15))))</f>
        <v>0.12420000061284316</v>
      </c>
      <c r="U9" s="28">
        <f>'Tradeoff weights'!$D9*IF('Aerial Platform'!U26&lt;=MIN('Technology maturity'!$A$2:$A$12),0,IF('Aerial Platform'!U26&gt;=MAX('Technology maturity'!$A$2:$A$12),1,(1/'Technology maturity'!$B$16)*(1-EXP('Technology maturity'!$B$14*('Aerial Platform'!U26-MIN('Technology maturity'!$A$2:$A$12))^'Technology maturity'!$B$15))))</f>
        <v>0.13800000000000001</v>
      </c>
      <c r="V9" s="28">
        <f>'Tradeoff weights'!$D9*IF('Aerial Platform'!V26&lt;=MIN('Technology maturity'!$A$2:$A$12),0,IF('Aerial Platform'!V26&gt;=MAX('Technology maturity'!$A$2:$A$12),1,(1/'Technology maturity'!$B$16)*(1-EXP('Technology maturity'!$B$14*('Aerial Platform'!V26-MIN('Technology maturity'!$A$2:$A$12))^'Technology maturity'!$B$15))))</f>
        <v>0.13800000000000001</v>
      </c>
      <c r="W9" s="28">
        <f>'Tradeoff weights'!$D9*IF('Aerial Platform'!W26&lt;=MIN('Technology maturity'!$A$2:$A$12),0,IF('Aerial Platform'!W26&gt;=MAX('Technology maturity'!$A$2:$A$12),1,(1/'Technology maturity'!$B$16)*(1-EXP('Technology maturity'!$B$14*('Aerial Platform'!W26-MIN('Technology maturity'!$A$2:$A$12))^'Technology maturity'!$B$15))))</f>
        <v>0.13800000000000001</v>
      </c>
      <c r="X9" s="28">
        <f>'Tradeoff weights'!$D9*IF('Aerial Platform'!X26&lt;=MIN('Technology maturity'!$A$2:$A$12),0,IF('Aerial Platform'!X26&gt;=MAX('Technology maturity'!$A$2:$A$12),1,(1/'Technology maturity'!$B$16)*(1-EXP('Technology maturity'!$B$14*('Aerial Platform'!X26-MIN('Technology maturity'!$A$2:$A$12))^'Technology maturity'!$B$15))))</f>
        <v>9.6600001532107863E-2</v>
      </c>
      <c r="Y9" s="28">
        <f>'Tradeoff weights'!$D9*IF('Aerial Platform'!Y26&lt;=MIN('Technology maturity'!$A$2:$A$12),0,IF('Aerial Platform'!Y26&gt;=MAX('Technology maturity'!$A$2:$A$12),1,(1/'Technology maturity'!$B$16)*(1-EXP('Technology maturity'!$B$14*('Aerial Platform'!Y26-MIN('Technology maturity'!$A$2:$A$12))^'Technology maturity'!$B$15))))</f>
        <v>2.76000010724755E-2</v>
      </c>
    </row>
    <row r="10" spans="1:25" x14ac:dyDescent="0.25">
      <c r="A10" t="str">
        <f>'Tradeoff weights'!A10</f>
        <v>All weather capability</v>
      </c>
      <c r="B10" s="28">
        <f>'Tradeoff weights'!$D10*IF(EXACT('Aerial Platform'!B30,Stealth!$A$2),Stealth!$B$2,Stealth!$B$3)</f>
        <v>0</v>
      </c>
      <c r="C10" s="28">
        <f>'Tradeoff weights'!$D10*IF(EXACT('Aerial Platform'!C30,Stealth!$A$2),Stealth!$B$2,Stealth!$B$3)</f>
        <v>0</v>
      </c>
      <c r="D10" s="28">
        <f>'Tradeoff weights'!$D10*IF(EXACT('Aerial Platform'!D30,Stealth!$A$2),Stealth!$B$2,Stealth!$B$3)</f>
        <v>0</v>
      </c>
      <c r="E10" s="28">
        <f>'Tradeoff weights'!$D10*IF(EXACT('Aerial Platform'!E30,Stealth!$A$2),Stealth!$B$2,Stealth!$B$3)</f>
        <v>0</v>
      </c>
      <c r="F10" s="28">
        <f>'Tradeoff weights'!$D10*IF(EXACT('Aerial Platform'!F30,Stealth!$A$2),Stealth!$B$2,Stealth!$B$3)</f>
        <v>0</v>
      </c>
      <c r="G10" s="28">
        <f>'Tradeoff weights'!$D10*IF(EXACT('Aerial Platform'!G30,Stealth!$A$2),Stealth!$B$2,Stealth!$B$3)</f>
        <v>0</v>
      </c>
      <c r="H10" s="28">
        <f>'Tradeoff weights'!$D10*IF(EXACT('Aerial Platform'!H30,Stealth!$A$2),Stealth!$B$2,Stealth!$B$3)</f>
        <v>0</v>
      </c>
      <c r="I10" s="28">
        <f>'Tradeoff weights'!$D10*IF(EXACT('Aerial Platform'!I30,Stealth!$A$2),Stealth!$B$2,Stealth!$B$3)</f>
        <v>0</v>
      </c>
      <c r="J10" s="28">
        <f>'Tradeoff weights'!$D10*IF(EXACT('Aerial Platform'!J30,Stealth!$A$2),Stealth!$B$2,Stealth!$B$3)</f>
        <v>0</v>
      </c>
      <c r="K10" s="28">
        <f>'Tradeoff weights'!$D10*IF(EXACT('Aerial Platform'!K30,Stealth!$A$2),Stealth!$B$2,Stealth!$B$3)</f>
        <v>0</v>
      </c>
      <c r="L10" s="28">
        <f>'Tradeoff weights'!$D10*IF(EXACT('Aerial Platform'!L30,Stealth!$A$2),Stealth!$B$2,Stealth!$B$3)</f>
        <v>0</v>
      </c>
      <c r="M10" s="28">
        <f>'Tradeoff weights'!$D10*IF(EXACT('Aerial Platform'!M30,Stealth!$A$2),Stealth!$B$2,Stealth!$B$3)</f>
        <v>0</v>
      </c>
      <c r="N10" s="28">
        <f>'Tradeoff weights'!$D10*IF(EXACT('Aerial Platform'!N30,Stealth!$A$2),Stealth!$B$2,Stealth!$B$3)</f>
        <v>0</v>
      </c>
      <c r="O10" s="28">
        <f>'Tradeoff weights'!$D10*IF(EXACT('Aerial Platform'!O30,Stealth!$A$2),Stealth!$B$2,Stealth!$B$3)</f>
        <v>0</v>
      </c>
      <c r="P10" s="28">
        <f>'Tradeoff weights'!$D10*IF(EXACT('Aerial Platform'!P30,Stealth!$A$2),Stealth!$B$2,Stealth!$B$3)</f>
        <v>0</v>
      </c>
      <c r="Q10" s="28">
        <f>'Tradeoff weights'!$D10*IF(EXACT('Aerial Platform'!Q30,Stealth!$A$2),Stealth!$B$2,Stealth!$B$3)</f>
        <v>0</v>
      </c>
      <c r="R10" s="28">
        <f>'Tradeoff weights'!$D10*IF(EXACT('Aerial Platform'!R30,Stealth!$A$2),Stealth!$B$2,Stealth!$B$3)</f>
        <v>0</v>
      </c>
      <c r="S10" s="28">
        <f>'Tradeoff weights'!$D10*IF(EXACT('Aerial Platform'!S30,Stealth!$A$2),Stealth!$B$2,Stealth!$B$3)</f>
        <v>0</v>
      </c>
      <c r="T10" s="28">
        <f>'Tradeoff weights'!$D10*IF(EXACT('Aerial Platform'!T30,Stealth!$A$2),Stealth!$B$2,Stealth!$B$3)</f>
        <v>0</v>
      </c>
      <c r="U10" s="28">
        <f>'Tradeoff weights'!$D10*IF(EXACT('Aerial Platform'!U30,Stealth!$A$2),Stealth!$B$2,Stealth!$B$3)</f>
        <v>0</v>
      </c>
      <c r="V10" s="28">
        <f>'Tradeoff weights'!$D10*IF(EXACT('Aerial Platform'!V30,Stealth!$A$2),Stealth!$B$2,Stealth!$B$3)</f>
        <v>0</v>
      </c>
      <c r="W10" s="28">
        <f>'Tradeoff weights'!$D10*IF(EXACT('Aerial Platform'!W30,Stealth!$A$2),Stealth!$B$2,Stealth!$B$3)</f>
        <v>0</v>
      </c>
      <c r="X10" s="28">
        <f>'Tradeoff weights'!$D10*IF(EXACT('Aerial Platform'!X30,Stealth!$A$2),Stealth!$B$2,Stealth!$B$3)</f>
        <v>0</v>
      </c>
      <c r="Y10" s="28">
        <f>'Tradeoff weights'!$D10*IF(EXACT('Aerial Platform'!Y30,Stealth!$A$2),Stealth!$B$2,Stealth!$B$3)</f>
        <v>0</v>
      </c>
    </row>
    <row r="11" spans="1:25" x14ac:dyDescent="0.25">
      <c r="A11" t="str">
        <f>'Tradeoff weights'!A11</f>
        <v>Man portability</v>
      </c>
      <c r="B11" s="28">
        <f>'Tradeoff weights'!$D11*IF(EXACT('Aerial Platform'!B50,'Man portability'!$A$2),'Man portability'!$B$2,'Man portability'!$B$3)</f>
        <v>0</v>
      </c>
      <c r="C11" s="28">
        <f>'Tradeoff weights'!$D11*IF(EXACT('Aerial Platform'!C50,'Man portability'!$A$2),'Man portability'!$B$2,'Man portability'!$B$3)</f>
        <v>0</v>
      </c>
      <c r="D11" s="28">
        <f>'Tradeoff weights'!$D11*IF(EXACT('Aerial Platform'!D50,'Man portability'!$A$2),'Man portability'!$B$2,'Man portability'!$B$3)</f>
        <v>0</v>
      </c>
      <c r="E11" s="28">
        <f>'Tradeoff weights'!$D11*IF(EXACT('Aerial Platform'!E50,'Man portability'!$A$2),'Man portability'!$B$2,'Man portability'!$B$3)</f>
        <v>0</v>
      </c>
      <c r="F11" s="28">
        <f>'Tradeoff weights'!$D11*IF(EXACT('Aerial Platform'!F50,'Man portability'!$A$2),'Man portability'!$B$2,'Man portability'!$B$3)</f>
        <v>0</v>
      </c>
      <c r="G11" s="28">
        <f>'Tradeoff weights'!$D11*IF(EXACT('Aerial Platform'!G50,'Man portability'!$A$2),'Man portability'!$B$2,'Man portability'!$B$3)</f>
        <v>0</v>
      </c>
      <c r="H11" s="28">
        <f>'Tradeoff weights'!$D11*IF(EXACT('Aerial Platform'!H50,'Man portability'!$A$2),'Man portability'!$B$2,'Man portability'!$B$3)</f>
        <v>0</v>
      </c>
      <c r="I11" s="28">
        <f>'Tradeoff weights'!$D11*IF(EXACT('Aerial Platform'!I50,'Man portability'!$A$2),'Man portability'!$B$2,'Man portability'!$B$3)</f>
        <v>0</v>
      </c>
      <c r="J11" s="28">
        <f>'Tradeoff weights'!$D11*IF(EXACT('Aerial Platform'!J50,'Man portability'!$A$2),'Man portability'!$B$2,'Man portability'!$B$3)</f>
        <v>0.17249999999999999</v>
      </c>
      <c r="K11" s="28">
        <f>'Tradeoff weights'!$D11*IF(EXACT('Aerial Platform'!K50,'Man portability'!$A$2),'Man portability'!$B$2,'Man portability'!$B$3)</f>
        <v>0</v>
      </c>
      <c r="L11" s="28">
        <f>'Tradeoff weights'!$D11*IF(EXACT('Aerial Platform'!L50,'Man portability'!$A$2),'Man portability'!$B$2,'Man portability'!$B$3)</f>
        <v>0</v>
      </c>
      <c r="M11" s="28">
        <f>'Tradeoff weights'!$D11*IF(EXACT('Aerial Platform'!M50,'Man portability'!$A$2),'Man portability'!$B$2,'Man portability'!$B$3)</f>
        <v>0</v>
      </c>
      <c r="N11" s="28">
        <f>'Tradeoff weights'!$D11*IF(EXACT('Aerial Platform'!N50,'Man portability'!$A$2),'Man portability'!$B$2,'Man portability'!$B$3)</f>
        <v>0</v>
      </c>
      <c r="O11" s="28">
        <f>'Tradeoff weights'!$D11*IF(EXACT('Aerial Platform'!O50,'Man portability'!$A$2),'Man portability'!$B$2,'Man portability'!$B$3)</f>
        <v>0</v>
      </c>
      <c r="P11" s="28">
        <f>'Tradeoff weights'!$D11*IF(EXACT('Aerial Platform'!P50,'Man portability'!$A$2),'Man portability'!$B$2,'Man portability'!$B$3)</f>
        <v>0</v>
      </c>
      <c r="Q11" s="28">
        <f>'Tradeoff weights'!$D11*IF(EXACT('Aerial Platform'!Q50,'Man portability'!$A$2),'Man portability'!$B$2,'Man portability'!$B$3)</f>
        <v>0.17249999999999999</v>
      </c>
      <c r="R11" s="28">
        <f>'Tradeoff weights'!$D11*IF(EXACT('Aerial Platform'!R50,'Man portability'!$A$2),'Man portability'!$B$2,'Man portability'!$B$3)</f>
        <v>0</v>
      </c>
      <c r="S11" s="28">
        <f>'Tradeoff weights'!$D11*IF(EXACT('Aerial Platform'!S50,'Man portability'!$A$2),'Man portability'!$B$2,'Man portability'!$B$3)</f>
        <v>0</v>
      </c>
      <c r="T11" s="28">
        <f>'Tradeoff weights'!$D11*IF(EXACT('Aerial Platform'!T50,'Man portability'!$A$2),'Man portability'!$B$2,'Man portability'!$B$3)</f>
        <v>0</v>
      </c>
      <c r="U11" s="28">
        <f>'Tradeoff weights'!$D11*IF(EXACT('Aerial Platform'!U50,'Man portability'!$A$2),'Man portability'!$B$2,'Man portability'!$B$3)</f>
        <v>0</v>
      </c>
      <c r="V11" s="28">
        <f>'Tradeoff weights'!$D11*IF(EXACT('Aerial Platform'!V50,'Man portability'!$A$2),'Man portability'!$B$2,'Man portability'!$B$3)</f>
        <v>0</v>
      </c>
      <c r="W11" s="28">
        <f>'Tradeoff weights'!$D11*IF(EXACT('Aerial Platform'!W50,'Man portability'!$A$2),'Man portability'!$B$2,'Man portability'!$B$3)</f>
        <v>0</v>
      </c>
      <c r="X11" s="28">
        <f>'Tradeoff weights'!$D11*IF(EXACT('Aerial Platform'!X50,'Man portability'!$A$2),'Man portability'!$B$2,'Man portability'!$B$3)</f>
        <v>0</v>
      </c>
      <c r="Y11" s="28">
        <f>'Tradeoff weights'!$D11*IF(EXACT('Aerial Platform'!Y50,'Man portability'!$A$2),'Man portability'!$B$2,'Man portability'!$B$3)</f>
        <v>0</v>
      </c>
    </row>
    <row r="12" spans="1:25" x14ac:dyDescent="0.25">
      <c r="A12" t="str">
        <f>'Tradeoff weights'!A12</f>
        <v>Launch method</v>
      </c>
      <c r="B12" s="28">
        <f>'Tradeoff weights'!$D12*VLOOKUP('Aerial Platform'!B22,'Launch method'!$A$2:$B$6,2,FALSE)</f>
        <v>0</v>
      </c>
      <c r="C12" s="28">
        <f>'Tradeoff weights'!$D12*VLOOKUP('Aerial Platform'!C22,'Launch method'!$A$2:$B$6,2,FALSE)</f>
        <v>0</v>
      </c>
      <c r="D12" s="28">
        <f>'Tradeoff weights'!$D12*VLOOKUP('Aerial Platform'!D22,'Launch method'!$A$2:$B$6,2,FALSE)</f>
        <v>0</v>
      </c>
      <c r="E12" s="28">
        <f>'Tradeoff weights'!$D12*VLOOKUP('Aerial Platform'!E22,'Launch method'!$A$2:$B$6,2,FALSE)</f>
        <v>0</v>
      </c>
      <c r="F12" s="28">
        <f>'Tradeoff weights'!$D12*VLOOKUP('Aerial Platform'!F22,'Launch method'!$A$2:$B$6,2,FALSE)</f>
        <v>0</v>
      </c>
      <c r="G12" s="28">
        <f>'Tradeoff weights'!$D12*VLOOKUP('Aerial Platform'!G22,'Launch method'!$A$2:$B$6,2,FALSE)</f>
        <v>3.4499999999999996E-2</v>
      </c>
      <c r="H12" s="28">
        <f>'Tradeoff weights'!$D12*VLOOKUP('Aerial Platform'!H22,'Launch method'!$A$2:$B$6,2,FALSE)</f>
        <v>0.11499999999999999</v>
      </c>
      <c r="I12" s="28">
        <f>'Tradeoff weights'!$D12*VLOOKUP('Aerial Platform'!I22,'Launch method'!$A$2:$B$6,2,FALSE)</f>
        <v>0</v>
      </c>
      <c r="J12" s="28">
        <f>'Tradeoff weights'!$D12*VLOOKUP('Aerial Platform'!J22,'Launch method'!$A$2:$B$6,2,FALSE)</f>
        <v>9.1999999999999998E-2</v>
      </c>
      <c r="K12" s="28">
        <f>'Tradeoff weights'!$D12*VLOOKUP('Aerial Platform'!K22,'Launch method'!$A$2:$B$6,2,FALSE)</f>
        <v>3.4499999999999996E-2</v>
      </c>
      <c r="L12" s="28">
        <f>'Tradeoff weights'!$D12*VLOOKUP('Aerial Platform'!L22,'Launch method'!$A$2:$B$6,2,FALSE)</f>
        <v>0.11499999999999999</v>
      </c>
      <c r="M12" s="28">
        <f>'Tradeoff weights'!$D12*VLOOKUP('Aerial Platform'!M22,'Launch method'!$A$2:$B$6,2,FALSE)</f>
        <v>0.11499999999999999</v>
      </c>
      <c r="N12" s="28">
        <f>'Tradeoff weights'!$D12*VLOOKUP('Aerial Platform'!N22,'Launch method'!$A$2:$B$6,2,FALSE)</f>
        <v>3.4499999999999996E-2</v>
      </c>
      <c r="O12" s="28">
        <f>'Tradeoff weights'!$D12*VLOOKUP('Aerial Platform'!O22,'Launch method'!$A$2:$B$6,2,FALSE)</f>
        <v>3.4499999999999996E-2</v>
      </c>
      <c r="P12" s="28">
        <f>'Tradeoff weights'!$D12*VLOOKUP('Aerial Platform'!P22,'Launch method'!$A$2:$B$6,2,FALSE)</f>
        <v>0</v>
      </c>
      <c r="Q12" s="28">
        <f>'Tradeoff weights'!$D12*VLOOKUP('Aerial Platform'!Q22,'Launch method'!$A$2:$B$6,2,FALSE)</f>
        <v>9.1999999999999998E-2</v>
      </c>
      <c r="R12" s="28">
        <f>'Tradeoff weights'!$D12*VLOOKUP('Aerial Platform'!R22,'Launch method'!$A$2:$B$6,2,FALSE)</f>
        <v>0.11499999999999999</v>
      </c>
      <c r="S12" s="28">
        <f>'Tradeoff weights'!$D12*VLOOKUP('Aerial Platform'!S22,'Launch method'!$A$2:$B$6,2,FALSE)</f>
        <v>3.4499999999999996E-2</v>
      </c>
      <c r="T12" s="28">
        <f>'Tradeoff weights'!$D12*VLOOKUP('Aerial Platform'!T22,'Launch method'!$A$2:$B$6,2,FALSE)</f>
        <v>9.1999999999999998E-2</v>
      </c>
      <c r="U12" s="28">
        <f>'Tradeoff weights'!$D12*VLOOKUP('Aerial Platform'!U22,'Launch method'!$A$2:$B$6,2,FALSE)</f>
        <v>0.11499999999999999</v>
      </c>
      <c r="V12" s="28">
        <f>'Tradeoff weights'!$D12*VLOOKUP('Aerial Platform'!V22,'Launch method'!$A$2:$B$6,2,FALSE)</f>
        <v>0.11499999999999999</v>
      </c>
      <c r="W12" s="28">
        <f>'Tradeoff weights'!$D12*VLOOKUP('Aerial Platform'!W22,'Launch method'!$A$2:$B$6,2,FALSE)</f>
        <v>0.11499999999999999</v>
      </c>
      <c r="X12" s="28">
        <f>'Tradeoff weights'!$D12*VLOOKUP('Aerial Platform'!X22,'Launch method'!$A$2:$B$6,2,FALSE)</f>
        <v>0.11499999999999999</v>
      </c>
      <c r="Y12" s="28">
        <f>'Tradeoff weights'!$D12*VLOOKUP('Aerial Platform'!Y22,'Launch method'!$A$2:$B$6,2,FALSE)</f>
        <v>0</v>
      </c>
    </row>
    <row r="13" spans="1:25" x14ac:dyDescent="0.25">
      <c r="A13" t="str">
        <f>'Tradeoff weights'!A13</f>
        <v>Recovery method</v>
      </c>
      <c r="B13" s="28">
        <f>'Tradeoff weights'!$D13*VLOOKUP('Aerial Platform'!B23,'Recovery method'!$A$2:$B$8,2,FALSE)</f>
        <v>0</v>
      </c>
      <c r="C13" s="28">
        <f>'Tradeoff weights'!$D13*VLOOKUP('Aerial Platform'!C23,'Recovery method'!$A$2:$B$8,2,FALSE)</f>
        <v>0</v>
      </c>
      <c r="D13" s="28">
        <f>'Tradeoff weights'!$D13*VLOOKUP('Aerial Platform'!D23,'Recovery method'!$A$2:$B$8,2,FALSE)</f>
        <v>0</v>
      </c>
      <c r="E13" s="28">
        <f>'Tradeoff weights'!$D13*VLOOKUP('Aerial Platform'!E23,'Recovery method'!$A$2:$B$8,2,FALSE)</f>
        <v>0</v>
      </c>
      <c r="F13" s="28">
        <f>'Tradeoff weights'!$D13*VLOOKUP('Aerial Platform'!F23,'Recovery method'!$A$2:$B$8,2,FALSE)</f>
        <v>0</v>
      </c>
      <c r="G13" s="28">
        <f>'Tradeoff weights'!$D13*VLOOKUP('Aerial Platform'!G23,'Recovery method'!$A$2:$B$8,2,FALSE)</f>
        <v>1.7249999999999998E-2</v>
      </c>
      <c r="H13" s="28">
        <f>'Tradeoff weights'!$D13*VLOOKUP('Aerial Platform'!H23,'Recovery method'!$A$2:$B$8,2,FALSE)</f>
        <v>5.7499999999999996E-2</v>
      </c>
      <c r="I13" s="28">
        <f>'Tradeoff weights'!$D13*VLOOKUP('Aerial Platform'!I23,'Recovery method'!$A$2:$B$8,2,FALSE)</f>
        <v>0</v>
      </c>
      <c r="J13" s="28">
        <f>'Tradeoff weights'!$D13*VLOOKUP('Aerial Platform'!J23,'Recovery method'!$A$2:$B$8,2,FALSE)</f>
        <v>4.5999999999999999E-2</v>
      </c>
      <c r="K13" s="28">
        <f>'Tradeoff weights'!$D13*VLOOKUP('Aerial Platform'!K23,'Recovery method'!$A$2:$B$8,2,FALSE)</f>
        <v>5.1749999999999997E-2</v>
      </c>
      <c r="L13" s="28">
        <f>'Tradeoff weights'!$D13*VLOOKUP('Aerial Platform'!L23,'Recovery method'!$A$2:$B$8,2,FALSE)</f>
        <v>5.7499999999999996E-2</v>
      </c>
      <c r="M13" s="28">
        <f>'Tradeoff weights'!$D13*VLOOKUP('Aerial Platform'!M23,'Recovery method'!$A$2:$B$8,2,FALSE)</f>
        <v>5.7499999999999996E-2</v>
      </c>
      <c r="N13" s="28">
        <f>'Tradeoff weights'!$D13*VLOOKUP('Aerial Platform'!N23,'Recovery method'!$A$2:$B$8,2,FALSE)</f>
        <v>3.4499999999999996E-2</v>
      </c>
      <c r="O13" s="28">
        <f>'Tradeoff weights'!$D13*VLOOKUP('Aerial Platform'!O23,'Recovery method'!$A$2:$B$8,2,FALSE)</f>
        <v>3.4499999999999996E-2</v>
      </c>
      <c r="P13" s="28">
        <f>'Tradeoff weights'!$D13*VLOOKUP('Aerial Platform'!P23,'Recovery method'!$A$2:$B$8,2,FALSE)</f>
        <v>1.7249999999999998E-2</v>
      </c>
      <c r="Q13" s="28">
        <f>'Tradeoff weights'!$D13*VLOOKUP('Aerial Platform'!Q23,'Recovery method'!$A$2:$B$8,2,FALSE)</f>
        <v>4.5999999999999999E-2</v>
      </c>
      <c r="R13" s="28">
        <f>'Tradeoff weights'!$D13*VLOOKUP('Aerial Platform'!R23,'Recovery method'!$A$2:$B$8,2,FALSE)</f>
        <v>5.7499999999999996E-2</v>
      </c>
      <c r="S13" s="28">
        <f>'Tradeoff weights'!$D13*VLOOKUP('Aerial Platform'!S23,'Recovery method'!$A$2:$B$8,2,FALSE)</f>
        <v>3.4499999999999996E-2</v>
      </c>
      <c r="T13" s="28">
        <f>'Tradeoff weights'!$D13*VLOOKUP('Aerial Platform'!T23,'Recovery method'!$A$2:$B$8,2,FALSE)</f>
        <v>4.5999999999999999E-2</v>
      </c>
      <c r="U13" s="28">
        <f>'Tradeoff weights'!$D13*VLOOKUP('Aerial Platform'!U23,'Recovery method'!$A$2:$B$8,2,FALSE)</f>
        <v>5.7499999999999996E-2</v>
      </c>
      <c r="V13" s="28">
        <f>'Tradeoff weights'!$D13*VLOOKUP('Aerial Platform'!V23,'Recovery method'!$A$2:$B$8,2,FALSE)</f>
        <v>5.7499999999999996E-2</v>
      </c>
      <c r="W13" s="28">
        <f>'Tradeoff weights'!$D13*VLOOKUP('Aerial Platform'!W23,'Recovery method'!$A$2:$B$8,2,FALSE)</f>
        <v>5.7499999999999996E-2</v>
      </c>
      <c r="X13" s="28">
        <f>'Tradeoff weights'!$D13*VLOOKUP('Aerial Platform'!X23,'Recovery method'!$A$2:$B$8,2,FALSE)</f>
        <v>5.7499999999999996E-2</v>
      </c>
      <c r="Y13" s="28">
        <f>'Tradeoff weights'!$D13*VLOOKUP('Aerial Platform'!Y23,'Recovery method'!$A$2:$B$8,2,FALSE)</f>
        <v>0</v>
      </c>
    </row>
    <row r="15" spans="1:25" x14ac:dyDescent="0.25">
      <c r="A15" s="30" t="s">
        <v>252</v>
      </c>
      <c r="B15" s="28">
        <f>SUM(B2:B13)</f>
        <v>0.49100006605087282</v>
      </c>
      <c r="C15" s="28">
        <f>SUM(C2:C13)</f>
        <v>0.43901335349473808</v>
      </c>
      <c r="D15" s="28">
        <f>SUM(D2:D13)</f>
        <v>0.51708039072155476</v>
      </c>
      <c r="E15" s="28">
        <f t="shared" ref="E15:Y15" si="0">SUM(E2:E13)</f>
        <v>0.49215973688600778</v>
      </c>
      <c r="F15" s="28">
        <f t="shared" si="0"/>
        <v>0.37321104178228404</v>
      </c>
      <c r="G15" s="28">
        <f t="shared" si="0"/>
        <v>0.59588383677263179</v>
      </c>
      <c r="H15" s="28">
        <f t="shared" si="0"/>
        <v>0.68008333733951165</v>
      </c>
      <c r="I15" s="28">
        <f t="shared" si="0"/>
        <v>0.51906402222577819</v>
      </c>
      <c r="J15" s="28">
        <f t="shared" si="0"/>
        <v>0.73075703489952826</v>
      </c>
      <c r="K15" s="28">
        <f t="shared" si="0"/>
        <v>0.66106229908107572</v>
      </c>
      <c r="L15" s="28">
        <f t="shared" si="0"/>
        <v>0.38929589367448314</v>
      </c>
      <c r="M15" s="28">
        <f t="shared" si="0"/>
        <v>0.68880185929802218</v>
      </c>
      <c r="N15" s="28">
        <f t="shared" si="0"/>
        <v>0.58628222145668885</v>
      </c>
      <c r="O15" s="28">
        <f t="shared" si="0"/>
        <v>0.55065885694538541</v>
      </c>
      <c r="P15" s="28">
        <f t="shared" si="0"/>
        <v>0.45260735428802945</v>
      </c>
      <c r="Q15" s="28">
        <f t="shared" si="0"/>
        <v>0.54514514302316297</v>
      </c>
      <c r="R15" s="28">
        <f t="shared" si="0"/>
        <v>0.35700000017208455</v>
      </c>
      <c r="S15" s="28">
        <f t="shared" si="0"/>
        <v>0.6003275838311013</v>
      </c>
      <c r="T15" s="28">
        <f t="shared" si="0"/>
        <v>0.55281365474249278</v>
      </c>
      <c r="U15" s="28">
        <f t="shared" si="0"/>
        <v>0.62049999999999994</v>
      </c>
      <c r="V15" s="28">
        <f t="shared" si="0"/>
        <v>0.62049999999999994</v>
      </c>
      <c r="W15" s="28">
        <f t="shared" si="0"/>
        <v>0.62049999999999994</v>
      </c>
      <c r="X15" s="28">
        <f t="shared" si="0"/>
        <v>0.57910000153210783</v>
      </c>
      <c r="Y15" s="28">
        <f t="shared" si="0"/>
        <v>0.28033598007238358</v>
      </c>
    </row>
    <row r="16" spans="1:25" x14ac:dyDescent="0.25">
      <c r="A16" s="30" t="s">
        <v>254</v>
      </c>
      <c r="B16" s="6">
        <f>'Aerial Platform'!B51</f>
        <v>2.0190046678402069</v>
      </c>
      <c r="C16" s="6">
        <f>'Aerial Platform'!C51</f>
        <v>4.8089363873716948</v>
      </c>
      <c r="D16" s="6">
        <f>'Aerial Platform'!D51</f>
        <v>34.357959906292898</v>
      </c>
      <c r="E16" s="6">
        <f>'Aerial Platform'!E51</f>
        <v>34.357959906292898</v>
      </c>
      <c r="F16" s="6">
        <f>'Aerial Platform'!F51</f>
        <v>26.429602435675921</v>
      </c>
      <c r="G16" s="6">
        <f>'Aerial Platform'!G51</f>
        <v>0.85606088618099418</v>
      </c>
      <c r="H16" s="6">
        <f>'Aerial Platform'!H51</f>
        <v>3.3834230952380957</v>
      </c>
      <c r="I16" s="6">
        <f>'Aerial Platform'!I51</f>
        <v>3.6373688371466542</v>
      </c>
      <c r="J16" s="6">
        <f>'Aerial Platform'!J51</f>
        <v>1.496300212946621E-2</v>
      </c>
      <c r="K16" s="6">
        <f>'Aerial Platform'!K51</f>
        <v>8.1808722813740617E-2</v>
      </c>
      <c r="L16" s="6">
        <f>'Aerial Platform'!L51</f>
        <v>0.14842142332365665</v>
      </c>
      <c r="M16" s="6">
        <f>'Aerial Platform'!M51</f>
        <v>2.6566246889867919</v>
      </c>
      <c r="N16" s="6">
        <f>'Aerial Platform'!N51</f>
        <v>0</v>
      </c>
      <c r="O16" s="6">
        <f>'Aerial Platform'!O51</f>
        <v>0.94010418616306357</v>
      </c>
      <c r="P16" s="6">
        <f>'Aerial Platform'!P51</f>
        <v>95.447859659285413</v>
      </c>
      <c r="Q16" s="6">
        <f>'Aerial Platform'!Q51</f>
        <v>1.7456835817710577E-2</v>
      </c>
      <c r="R16" s="6">
        <f>'Aerial Platform'!R51</f>
        <v>0</v>
      </c>
      <c r="S16" s="6">
        <f>'Aerial Platform'!S51</f>
        <v>1.7456835817710577E-2</v>
      </c>
      <c r="T16" s="6">
        <f>'Aerial Platform'!T51</f>
        <v>0</v>
      </c>
      <c r="U16" s="6">
        <f>'Aerial Platform'!U51</f>
        <v>2.5453899682805297</v>
      </c>
      <c r="V16" s="6">
        <f>'Aerial Platform'!V51</f>
        <v>9.568514795844546E-2</v>
      </c>
      <c r="W16" s="6">
        <f>'Aerial Platform'!W51</f>
        <v>2.7141500472479669E-2</v>
      </c>
      <c r="X16" s="6">
        <f>'Aerial Platform'!X51</f>
        <v>0.11711345408399612</v>
      </c>
      <c r="Y16" s="6">
        <f>'Aerial Platform'!Y51</f>
        <v>0</v>
      </c>
    </row>
    <row r="18" spans="1:1" x14ac:dyDescent="0.25">
      <c r="A18" s="30" t="s">
        <v>253</v>
      </c>
    </row>
    <row r="19" spans="1:1" x14ac:dyDescent="0.25">
      <c r="A19" t="str">
        <f>'Tradeoff weights'!A17</f>
        <v>Flexibility</v>
      </c>
    </row>
    <row r="20" spans="1:1" x14ac:dyDescent="0.25">
      <c r="A20" t="str">
        <f>'Tradeoff weights'!A18</f>
        <v>Performance</v>
      </c>
    </row>
    <row r="21" spans="1:1" x14ac:dyDescent="0.25">
      <c r="A21" t="str">
        <f>'Tradeoff weights'!A19</f>
        <v>Readiness</v>
      </c>
    </row>
    <row r="22" spans="1:1" x14ac:dyDescent="0.25">
      <c r="A22" t="str">
        <f>'Tradeoff weights'!A20</f>
        <v>Survivability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C49"/>
  <sheetViews>
    <sheetView zoomScaleNormal="100" workbookViewId="0">
      <selection activeCell="G10" sqref="G10"/>
    </sheetView>
  </sheetViews>
  <sheetFormatPr defaultRowHeight="15" x14ac:dyDescent="0.25"/>
  <cols>
    <col min="1" max="1" width="18" bestFit="1" customWidth="1"/>
    <col min="2" max="2" width="7.5703125" bestFit="1" customWidth="1"/>
    <col min="3" max="4" width="7.5703125" customWidth="1"/>
    <col min="5" max="15" width="5.7109375" customWidth="1"/>
    <col min="16" max="16" width="8.85546875" customWidth="1"/>
    <col min="17" max="18" width="9.140625" bestFit="1" customWidth="1"/>
    <col min="19" max="20" width="7.85546875" bestFit="1" customWidth="1"/>
    <col min="21" max="22" width="7.85546875" customWidth="1"/>
    <col min="23" max="23" width="17" bestFit="1" customWidth="1"/>
    <col min="24" max="24" width="3.42578125" style="2" customWidth="1"/>
    <col min="25" max="25" width="4" bestFit="1" customWidth="1"/>
  </cols>
  <sheetData>
    <row r="1" spans="1:29" ht="14.45" x14ac:dyDescent="0.3">
      <c r="A1" t="s">
        <v>75</v>
      </c>
      <c r="B1" t="s">
        <v>86</v>
      </c>
      <c r="C1" t="s">
        <v>110</v>
      </c>
      <c r="D1" t="s">
        <v>109</v>
      </c>
      <c r="F1" t="s">
        <v>89</v>
      </c>
      <c r="P1" t="s">
        <v>172</v>
      </c>
      <c r="Q1" t="s">
        <v>113</v>
      </c>
      <c r="R1" t="s">
        <v>104</v>
      </c>
      <c r="S1" t="s">
        <v>105</v>
      </c>
      <c r="T1" t="s">
        <v>106</v>
      </c>
      <c r="U1" t="s">
        <v>107</v>
      </c>
      <c r="V1" t="s">
        <v>108</v>
      </c>
      <c r="W1" t="s">
        <v>87</v>
      </c>
      <c r="Z1" t="s">
        <v>156</v>
      </c>
      <c r="AB1" t="s">
        <v>90</v>
      </c>
    </row>
    <row r="2" spans="1:29" ht="14.45" x14ac:dyDescent="0.3">
      <c r="A2" t="s">
        <v>0</v>
      </c>
      <c r="B2" t="s">
        <v>88</v>
      </c>
      <c r="E2" s="2">
        <v>0</v>
      </c>
      <c r="F2" s="1">
        <v>0.2</v>
      </c>
      <c r="G2" s="1">
        <v>0.4</v>
      </c>
      <c r="H2" s="1">
        <v>0.5</v>
      </c>
      <c r="I2" s="1">
        <v>0.6</v>
      </c>
      <c r="J2" s="1">
        <v>0.7</v>
      </c>
      <c r="K2" s="1">
        <v>0.8</v>
      </c>
      <c r="L2" s="1">
        <v>0.85</v>
      </c>
      <c r="M2" s="1">
        <v>0.9</v>
      </c>
      <c r="N2" s="1">
        <v>0.95</v>
      </c>
      <c r="O2" s="1">
        <v>1</v>
      </c>
      <c r="P2" s="1"/>
      <c r="S2" s="1"/>
      <c r="T2" s="1"/>
      <c r="U2" s="1"/>
      <c r="V2" s="1"/>
      <c r="Z2" t="s">
        <v>92</v>
      </c>
      <c r="AA2">
        <v>0.6</v>
      </c>
      <c r="AB2" t="s">
        <v>97</v>
      </c>
      <c r="AC2">
        <v>0.3</v>
      </c>
    </row>
    <row r="3" spans="1:29" ht="14.45" x14ac:dyDescent="0.3">
      <c r="A3" t="s">
        <v>76</v>
      </c>
      <c r="B3">
        <v>0</v>
      </c>
      <c r="E3" t="s">
        <v>111</v>
      </c>
      <c r="Q3">
        <f>Q2^0.5</f>
        <v>0</v>
      </c>
      <c r="R3">
        <f>100*1.15078</f>
        <v>115.07799999999999</v>
      </c>
      <c r="S3" s="4"/>
      <c r="T3" s="4"/>
      <c r="U3" s="4"/>
      <c r="V3" s="4"/>
      <c r="Z3" t="s">
        <v>117</v>
      </c>
      <c r="AA3">
        <v>0.8</v>
      </c>
      <c r="AB3" t="s">
        <v>94</v>
      </c>
      <c r="AC3">
        <v>0.8</v>
      </c>
    </row>
    <row r="4" spans="1:29" ht="14.45" x14ac:dyDescent="0.3">
      <c r="A4" t="s">
        <v>156</v>
      </c>
      <c r="B4">
        <v>0</v>
      </c>
      <c r="Q4" s="18">
        <f>Q3*1.15</f>
        <v>0</v>
      </c>
      <c r="Z4" t="s">
        <v>93</v>
      </c>
      <c r="AA4">
        <v>0</v>
      </c>
      <c r="AB4" t="s">
        <v>96</v>
      </c>
      <c r="AC4">
        <v>0.6</v>
      </c>
    </row>
    <row r="5" spans="1:29" ht="14.45" x14ac:dyDescent="0.3">
      <c r="A5" t="s">
        <v>112</v>
      </c>
      <c r="B5">
        <v>0</v>
      </c>
      <c r="Q5" s="12"/>
      <c r="Z5" t="s">
        <v>155</v>
      </c>
      <c r="AA5">
        <v>0.2</v>
      </c>
      <c r="AB5" t="s">
        <v>122</v>
      </c>
      <c r="AC5">
        <v>0.9</v>
      </c>
    </row>
    <row r="6" spans="1:29" ht="14.45" x14ac:dyDescent="0.3">
      <c r="A6" t="s">
        <v>118</v>
      </c>
      <c r="B6">
        <v>0.2</v>
      </c>
      <c r="C6">
        <f>MIN(E6:O6)</f>
        <v>3</v>
      </c>
      <c r="D6">
        <f t="shared" ref="D6:D14" si="0">MAX(E6:O6)</f>
        <v>350</v>
      </c>
      <c r="E6">
        <v>3</v>
      </c>
      <c r="F6">
        <v>10</v>
      </c>
      <c r="G6">
        <v>25</v>
      </c>
      <c r="H6">
        <v>35</v>
      </c>
      <c r="I6">
        <v>50</v>
      </c>
      <c r="J6">
        <v>70</v>
      </c>
      <c r="K6">
        <v>100</v>
      </c>
      <c r="L6">
        <v>150</v>
      </c>
      <c r="M6">
        <v>220</v>
      </c>
      <c r="N6">
        <v>300</v>
      </c>
      <c r="O6">
        <v>350</v>
      </c>
      <c r="Q6" s="3">
        <v>2.8425560000000001E-12</v>
      </c>
      <c r="R6" s="4">
        <v>-2.9594359999999998E-9</v>
      </c>
      <c r="S6" s="4">
        <v>1.1781790000000001E-6</v>
      </c>
      <c r="T6" s="5">
        <v>-2.2497789999999999E-4</v>
      </c>
      <c r="U6" s="4">
        <v>2.1591200000000001E-2</v>
      </c>
      <c r="V6" s="4">
        <v>-3.0030089999999999E-2</v>
      </c>
      <c r="W6" s="7">
        <f>Q6*X6^5+R6*X6^4+S6*X6^3+T6*X6^2+U6*X6+V6</f>
        <v>0.99835284826250825</v>
      </c>
      <c r="X6" s="2">
        <v>349</v>
      </c>
      <c r="Y6" s="7">
        <v>0.7</v>
      </c>
      <c r="Z6" t="s">
        <v>91</v>
      </c>
      <c r="AA6">
        <v>1</v>
      </c>
      <c r="AB6" t="s">
        <v>93</v>
      </c>
      <c r="AC6">
        <v>0</v>
      </c>
    </row>
    <row r="7" spans="1:29" ht="14.45" x14ac:dyDescent="0.3">
      <c r="A7" t="s">
        <v>77</v>
      </c>
      <c r="B7">
        <v>0.3</v>
      </c>
      <c r="C7">
        <f t="shared" ref="C7:C14" si="1">MIN(E7:O7)</f>
        <v>0</v>
      </c>
      <c r="D7">
        <f t="shared" si="0"/>
        <v>6621</v>
      </c>
      <c r="E7">
        <v>0</v>
      </c>
      <c r="F7">
        <v>450</v>
      </c>
      <c r="G7">
        <v>1000</v>
      </c>
      <c r="H7">
        <v>1300</v>
      </c>
      <c r="I7">
        <v>1655</v>
      </c>
      <c r="J7">
        <v>2100</v>
      </c>
      <c r="K7">
        <v>2700</v>
      </c>
      <c r="L7">
        <v>3200</v>
      </c>
      <c r="M7">
        <v>4000</v>
      </c>
      <c r="N7">
        <v>5300</v>
      </c>
      <c r="O7">
        <v>6621</v>
      </c>
      <c r="Q7" s="3"/>
      <c r="R7" s="4"/>
      <c r="S7" s="4">
        <v>5.8537670000000003E-12</v>
      </c>
      <c r="T7" s="4">
        <v>-9.1232679999999998E-8</v>
      </c>
      <c r="U7" s="4">
        <v>4.9912909999999999E-4</v>
      </c>
      <c r="V7" s="4">
        <v>-4.8409000000000004E-3</v>
      </c>
      <c r="W7" s="7">
        <f>Q7*X7^5+R7*X7^4+S7*X7^3+T7*X7^2+U7*X7+V7</f>
        <v>0.99825021663199953</v>
      </c>
      <c r="X7" s="2">
        <v>6600</v>
      </c>
      <c r="Y7" s="7">
        <v>0.7</v>
      </c>
      <c r="AB7" t="s">
        <v>91</v>
      </c>
      <c r="AC7">
        <v>1</v>
      </c>
    </row>
    <row r="8" spans="1:29" ht="14.45" x14ac:dyDescent="0.3">
      <c r="A8" t="s">
        <v>78</v>
      </c>
      <c r="B8">
        <v>0.2</v>
      </c>
      <c r="C8">
        <f t="shared" si="1"/>
        <v>0</v>
      </c>
      <c r="D8">
        <v>449</v>
      </c>
      <c r="E8">
        <v>0</v>
      </c>
      <c r="F8">
        <v>12</v>
      </c>
      <c r="G8">
        <v>24</v>
      </c>
      <c r="H8">
        <v>36</v>
      </c>
      <c r="I8">
        <v>48</v>
      </c>
      <c r="J8">
        <v>86</v>
      </c>
      <c r="K8">
        <v>168</v>
      </c>
      <c r="L8">
        <v>250</v>
      </c>
      <c r="M8">
        <v>350</v>
      </c>
      <c r="N8">
        <v>420</v>
      </c>
      <c r="O8">
        <v>504</v>
      </c>
      <c r="P8" s="3">
        <v>-4.1560999999999998E-15</v>
      </c>
      <c r="Q8" s="3">
        <v>6.8583999999999999E-12</v>
      </c>
      <c r="R8" s="4">
        <v>-4.4349999999999997E-9</v>
      </c>
      <c r="S8" s="4">
        <v>1.4289E-6</v>
      </c>
      <c r="T8" s="4">
        <v>-2.4116E-4</v>
      </c>
      <c r="U8" s="4">
        <v>2.0990000000000002E-2</v>
      </c>
      <c r="V8" s="4">
        <v>0</v>
      </c>
      <c r="W8" s="7">
        <f>P8*X8^6+Q8*X8^5+R8*X8^4+S8*X8^3+T8*X8^2+U8*X8+V8</f>
        <v>1.0003944096994921</v>
      </c>
      <c r="X8" s="2">
        <v>449</v>
      </c>
      <c r="Y8" s="7">
        <v>0.4</v>
      </c>
      <c r="AB8" t="s">
        <v>95</v>
      </c>
      <c r="AC8">
        <v>0.6</v>
      </c>
    </row>
    <row r="9" spans="1:29" ht="14.45" x14ac:dyDescent="0.3">
      <c r="A9" t="s">
        <v>79</v>
      </c>
      <c r="B9">
        <v>0.1</v>
      </c>
      <c r="C9">
        <f t="shared" si="1"/>
        <v>0</v>
      </c>
      <c r="D9">
        <f t="shared" si="0"/>
        <v>100</v>
      </c>
      <c r="E9">
        <v>0</v>
      </c>
      <c r="O9">
        <v>100</v>
      </c>
      <c r="P9" s="3"/>
      <c r="Q9" s="4"/>
      <c r="R9" s="4"/>
      <c r="S9" s="4"/>
      <c r="T9" s="4"/>
      <c r="U9" s="4">
        <v>0.01</v>
      </c>
      <c r="V9" s="4">
        <v>0</v>
      </c>
      <c r="W9" s="7">
        <f>P9*X9^6+Q9*X9^5+R9*X9^4+S9*X9^3+T9*X9^2+U9*X9+V9</f>
        <v>0.78</v>
      </c>
      <c r="X9" s="2">
        <v>78</v>
      </c>
      <c r="Y9" s="7">
        <v>0.6</v>
      </c>
    </row>
    <row r="10" spans="1:29" ht="14.45" x14ac:dyDescent="0.3">
      <c r="A10" t="s">
        <v>80</v>
      </c>
      <c r="B10">
        <v>0.1</v>
      </c>
      <c r="C10">
        <f t="shared" si="1"/>
        <v>40</v>
      </c>
      <c r="D10">
        <f t="shared" si="0"/>
        <v>200</v>
      </c>
      <c r="E10">
        <v>40</v>
      </c>
      <c r="O10">
        <v>200</v>
      </c>
      <c r="R10" s="4"/>
      <c r="S10" s="4"/>
      <c r="T10" s="4"/>
      <c r="U10" s="4">
        <v>6.2500000000000003E-3</v>
      </c>
      <c r="V10" s="4">
        <v>-0.25</v>
      </c>
      <c r="Y10" s="7">
        <v>0.4</v>
      </c>
    </row>
    <row r="11" spans="1:29" ht="14.45" x14ac:dyDescent="0.3">
      <c r="A11" t="s">
        <v>98</v>
      </c>
      <c r="B11">
        <v>0</v>
      </c>
      <c r="C11">
        <f t="shared" si="1"/>
        <v>1</v>
      </c>
      <c r="D11">
        <v>30</v>
      </c>
      <c r="E11">
        <v>30</v>
      </c>
      <c r="F11">
        <f>(F2-1.0345)/-0.0345</f>
        <v>24.188405797101449</v>
      </c>
      <c r="G11">
        <f t="shared" ref="G11:N11" si="2">(G2-1.0345)/-0.0345</f>
        <v>18.391304347826082</v>
      </c>
      <c r="H11">
        <f t="shared" si="2"/>
        <v>15.492753623188404</v>
      </c>
      <c r="I11">
        <f t="shared" si="2"/>
        <v>12.594202898550723</v>
      </c>
      <c r="J11">
        <f t="shared" si="2"/>
        <v>9.695652173913043</v>
      </c>
      <c r="K11">
        <f t="shared" si="2"/>
        <v>6.7971014492753596</v>
      </c>
      <c r="L11">
        <f t="shared" si="2"/>
        <v>5.3478260869565215</v>
      </c>
      <c r="M11">
        <f t="shared" si="2"/>
        <v>3.8985507246376794</v>
      </c>
      <c r="N11">
        <f t="shared" si="2"/>
        <v>2.4492753623188408</v>
      </c>
      <c r="O11">
        <v>1</v>
      </c>
      <c r="R11" s="4"/>
      <c r="S11" s="4"/>
      <c r="T11" s="4"/>
      <c r="U11" s="2">
        <v>-3.4500000000000003E-2</v>
      </c>
      <c r="V11" s="2">
        <v>1.0344</v>
      </c>
      <c r="Y11" s="7"/>
      <c r="Z11" t="s">
        <v>99</v>
      </c>
    </row>
    <row r="12" spans="1:29" ht="14.45" x14ac:dyDescent="0.3">
      <c r="A12" t="s">
        <v>184</v>
      </c>
      <c r="B12">
        <v>0.1</v>
      </c>
      <c r="C12">
        <f t="shared" si="1"/>
        <v>-3</v>
      </c>
      <c r="D12">
        <f t="shared" si="0"/>
        <v>7</v>
      </c>
      <c r="E12">
        <v>-3</v>
      </c>
      <c r="O12">
        <v>7</v>
      </c>
      <c r="R12" s="4"/>
      <c r="S12" s="4"/>
      <c r="T12" s="4"/>
      <c r="U12" s="2">
        <v>0.1</v>
      </c>
      <c r="V12" s="2">
        <v>0.3</v>
      </c>
      <c r="W12" s="14">
        <f>T12*X12^2+U12*X12+V12</f>
        <v>0.19999999999999998</v>
      </c>
      <c r="X12" s="2">
        <v>-1</v>
      </c>
      <c r="Y12" s="7">
        <v>0.7</v>
      </c>
      <c r="Z12" t="s">
        <v>102</v>
      </c>
      <c r="AA12">
        <v>1</v>
      </c>
    </row>
    <row r="13" spans="1:29" ht="14.45" x14ac:dyDescent="0.3">
      <c r="A13" t="s">
        <v>82</v>
      </c>
      <c r="B13">
        <v>0</v>
      </c>
      <c r="R13" s="4"/>
      <c r="S13" s="4"/>
      <c r="T13" s="4"/>
      <c r="U13" s="4"/>
      <c r="V13" s="4"/>
      <c r="Z13" t="s">
        <v>101</v>
      </c>
      <c r="AA13">
        <v>0</v>
      </c>
    </row>
    <row r="14" spans="1:29" ht="14.45" x14ac:dyDescent="0.3">
      <c r="A14" t="s">
        <v>63</v>
      </c>
      <c r="B14">
        <v>0</v>
      </c>
      <c r="C14">
        <f t="shared" si="1"/>
        <v>0.5</v>
      </c>
      <c r="D14">
        <f t="shared" si="0"/>
        <v>0.9</v>
      </c>
      <c r="E14">
        <v>0.5</v>
      </c>
      <c r="F14">
        <v>0.57999999999999996</v>
      </c>
      <c r="G14" s="10">
        <f>(G2+1.25)/2.5</f>
        <v>0.65999999999999992</v>
      </c>
      <c r="H14" s="10">
        <f>(H2+1.25)/2.5</f>
        <v>0.7</v>
      </c>
      <c r="I14" s="10">
        <f>(I2+1.25)/2.5</f>
        <v>0.74</v>
      </c>
      <c r="J14" s="10">
        <f>(J2+1.25)/2.5</f>
        <v>0.78</v>
      </c>
      <c r="K14">
        <v>0.82</v>
      </c>
      <c r="L14" s="10">
        <f>(L2+1.25)/2.5</f>
        <v>0.84000000000000008</v>
      </c>
      <c r="M14" s="10">
        <f>(M2+1.25)/2.5</f>
        <v>0.86</v>
      </c>
      <c r="N14" s="10">
        <f>(N2+1.25)/2.5</f>
        <v>0.88000000000000012</v>
      </c>
      <c r="O14">
        <v>0.9</v>
      </c>
      <c r="R14" s="4"/>
      <c r="S14" s="4"/>
      <c r="T14" s="4"/>
      <c r="U14" s="7">
        <v>2.5</v>
      </c>
      <c r="V14" s="7">
        <v>-1.25</v>
      </c>
      <c r="W14">
        <f>SUMPRODUCT(Y6:Y12,B6:B12)</f>
        <v>0.6</v>
      </c>
      <c r="Z14" t="s">
        <v>100</v>
      </c>
      <c r="AA14">
        <v>0</v>
      </c>
    </row>
    <row r="15" spans="1:29" x14ac:dyDescent="0.25">
      <c r="A15" t="s">
        <v>83</v>
      </c>
      <c r="B15">
        <v>0</v>
      </c>
      <c r="Z15" t="s">
        <v>103</v>
      </c>
      <c r="AA15">
        <v>0</v>
      </c>
    </row>
    <row r="16" spans="1:29" x14ac:dyDescent="0.25">
      <c r="A16" t="s">
        <v>84</v>
      </c>
      <c r="B16">
        <v>0</v>
      </c>
    </row>
    <row r="17" spans="1:22" x14ac:dyDescent="0.25">
      <c r="A17" t="s">
        <v>85</v>
      </c>
      <c r="B17">
        <v>0</v>
      </c>
    </row>
    <row r="19" spans="1:22" ht="15.75" x14ac:dyDescent="0.25">
      <c r="E19" s="8"/>
      <c r="F19" s="9"/>
      <c r="G19" s="9"/>
      <c r="H19" s="9"/>
      <c r="I19" s="9"/>
      <c r="J19" s="9"/>
      <c r="K19" s="8"/>
    </row>
    <row r="20" spans="1:22" x14ac:dyDescent="0.25">
      <c r="E20" s="8"/>
      <c r="F20" s="8"/>
      <c r="G20" s="8"/>
      <c r="H20" s="8"/>
      <c r="I20" s="8"/>
      <c r="J20" s="8"/>
      <c r="K20" s="8"/>
    </row>
    <row r="21" spans="1:22" x14ac:dyDescent="0.25">
      <c r="E21" s="8"/>
      <c r="F21" s="8"/>
      <c r="G21" s="8"/>
      <c r="H21" s="8"/>
      <c r="I21" s="8"/>
      <c r="J21" s="8"/>
      <c r="K21" s="8"/>
    </row>
    <row r="28" spans="1:22" x14ac:dyDescent="0.25">
      <c r="Q28" s="3">
        <v>2.8425560000000001E-12</v>
      </c>
      <c r="R28" s="4">
        <v>-2.9594359999999998E-9</v>
      </c>
      <c r="S28" s="4">
        <v>1.1781790000000001E-6</v>
      </c>
      <c r="T28" s="5">
        <v>-2.2497789999999999E-4</v>
      </c>
      <c r="U28" s="4">
        <v>2.1591200000000001E-2</v>
      </c>
      <c r="V28" s="4">
        <v>-3.0030089999999999E-2</v>
      </c>
    </row>
    <row r="48" spans="1:18" x14ac:dyDescent="0.25">
      <c r="A48" t="s">
        <v>0</v>
      </c>
      <c r="B48" t="s">
        <v>88</v>
      </c>
      <c r="E48" s="2">
        <v>0</v>
      </c>
      <c r="F48">
        <v>0.05</v>
      </c>
      <c r="G48">
        <v>0.1</v>
      </c>
      <c r="H48">
        <v>0.15</v>
      </c>
      <c r="I48" s="1">
        <v>0.2</v>
      </c>
      <c r="J48" s="1">
        <v>0.4</v>
      </c>
      <c r="K48" s="1">
        <v>0.5</v>
      </c>
      <c r="L48" s="1">
        <v>0.6</v>
      </c>
      <c r="M48" s="1">
        <v>0.7</v>
      </c>
      <c r="N48" s="1">
        <v>0.8</v>
      </c>
      <c r="O48" s="1">
        <v>0.85</v>
      </c>
      <c r="P48" s="1">
        <v>0.9</v>
      </c>
      <c r="Q48" s="1">
        <v>0.95</v>
      </c>
      <c r="R48" s="1">
        <v>1</v>
      </c>
    </row>
    <row r="49" spans="1:18" x14ac:dyDescent="0.25">
      <c r="A49" t="s">
        <v>79</v>
      </c>
      <c r="B49">
        <v>0.1</v>
      </c>
      <c r="C49">
        <f>MIN(E49:R49)</f>
        <v>25</v>
      </c>
      <c r="D49">
        <f>MAX(E49:R49)</f>
        <v>90</v>
      </c>
      <c r="E49">
        <v>25</v>
      </c>
      <c r="F49">
        <v>30</v>
      </c>
      <c r="G49">
        <v>40</v>
      </c>
      <c r="H49">
        <v>45</v>
      </c>
      <c r="I49">
        <v>50</v>
      </c>
      <c r="J49">
        <v>54</v>
      </c>
      <c r="K49">
        <v>55</v>
      </c>
      <c r="L49">
        <v>56</v>
      </c>
      <c r="M49">
        <v>58</v>
      </c>
      <c r="N49">
        <v>60</v>
      </c>
      <c r="O49">
        <v>65</v>
      </c>
      <c r="P49">
        <v>70</v>
      </c>
      <c r="Q49">
        <v>85</v>
      </c>
      <c r="R49">
        <v>90</v>
      </c>
    </row>
  </sheetData>
  <sortState ref="Z2:AA6">
    <sortCondition ref="Z2:Z6"/>
  </sortState>
  <pageMargins left="0.7" right="0.7" top="0.75" bottom="0.75" header="0.3" footer="0.3"/>
  <pageSetup scale="3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Y18"/>
  <sheetViews>
    <sheetView zoomScale="80" zoomScaleNormal="80" workbookViewId="0">
      <pane xSplit="1" ySplit="2" topLeftCell="B3" activePane="bottomRight" state="frozen"/>
      <selection activeCell="L47" sqref="L47"/>
      <selection pane="topRight" activeCell="L47" sqref="L47"/>
      <selection pane="bottomLeft" activeCell="L47" sqref="L47"/>
      <selection pane="bottomRight" activeCell="Q4" sqref="Q4"/>
    </sheetView>
  </sheetViews>
  <sheetFormatPr defaultRowHeight="15" x14ac:dyDescent="0.25"/>
  <cols>
    <col min="5" max="5" width="8.85546875" hidden="1" customWidth="1"/>
    <col min="6" max="6" width="8.85546875" customWidth="1"/>
    <col min="15" max="15" width="0" hidden="1" customWidth="1"/>
    <col min="19" max="21" width="0" hidden="1" customWidth="1"/>
  </cols>
  <sheetData>
    <row r="1" spans="1:25" x14ac:dyDescent="0.3">
      <c r="B1" t="s">
        <v>115</v>
      </c>
      <c r="C1" s="11" t="e">
        <f>SUMPRODUCT($B$3:$B$17,C3:C17)</f>
        <v>#N/A</v>
      </c>
      <c r="D1" s="11" t="e">
        <f t="shared" ref="D1:Y1" si="0">SUMPRODUCT($B$3:$B$17,D3:D17)</f>
        <v>#N/A</v>
      </c>
      <c r="E1" s="11" t="e">
        <f t="shared" si="0"/>
        <v>#N/A</v>
      </c>
      <c r="F1" s="11" t="e">
        <f t="shared" si="0"/>
        <v>#N/A</v>
      </c>
      <c r="G1" s="11" t="e">
        <f t="shared" si="0"/>
        <v>#N/A</v>
      </c>
      <c r="H1" s="11" t="e">
        <f t="shared" si="0"/>
        <v>#N/A</v>
      </c>
      <c r="I1" s="11" t="e">
        <f t="shared" si="0"/>
        <v>#N/A</v>
      </c>
      <c r="J1" s="11" t="e">
        <f t="shared" si="0"/>
        <v>#N/A</v>
      </c>
      <c r="K1" s="11" t="e">
        <f t="shared" si="0"/>
        <v>#N/A</v>
      </c>
      <c r="L1" s="11" t="e">
        <f t="shared" si="0"/>
        <v>#N/A</v>
      </c>
      <c r="M1" s="11" t="e">
        <f t="shared" si="0"/>
        <v>#N/A</v>
      </c>
      <c r="N1" s="11" t="e">
        <f t="shared" si="0"/>
        <v>#N/A</v>
      </c>
      <c r="O1" s="11" t="e">
        <f t="shared" si="0"/>
        <v>#N/A</v>
      </c>
      <c r="P1" s="11" t="e">
        <f t="shared" si="0"/>
        <v>#N/A</v>
      </c>
      <c r="Q1" s="11" t="e">
        <f t="shared" si="0"/>
        <v>#N/A</v>
      </c>
      <c r="R1" s="11" t="e">
        <f t="shared" si="0"/>
        <v>#N/A</v>
      </c>
      <c r="S1" s="11" t="e">
        <f t="shared" si="0"/>
        <v>#N/A</v>
      </c>
      <c r="T1" s="11" t="e">
        <f t="shared" si="0"/>
        <v>#N/A</v>
      </c>
      <c r="U1" s="11" t="e">
        <f t="shared" si="0"/>
        <v>#N/A</v>
      </c>
      <c r="V1" s="11" t="e">
        <f t="shared" si="0"/>
        <v>#N/A</v>
      </c>
      <c r="W1" s="11" t="e">
        <f t="shared" si="0"/>
        <v>#N/A</v>
      </c>
      <c r="X1" s="11" t="e">
        <f t="shared" si="0"/>
        <v>#N/A</v>
      </c>
      <c r="Y1" s="11" t="e">
        <f t="shared" si="0"/>
        <v>#N/A</v>
      </c>
    </row>
    <row r="2" spans="1:25" x14ac:dyDescent="0.3">
      <c r="A2" t="s">
        <v>114</v>
      </c>
      <c r="B2" t="s">
        <v>9</v>
      </c>
      <c r="C2" t="str">
        <f>'Aerial Platform'!B2</f>
        <v>Predator</v>
      </c>
      <c r="D2" t="str">
        <f>'Aerial Platform'!C2</f>
        <v>Gray Eagle</v>
      </c>
      <c r="E2" t="str">
        <f>'Aerial Platform'!D2</f>
        <v>Global Hawk A</v>
      </c>
      <c r="F2" t="str">
        <f>'Aerial Platform'!E2</f>
        <v>Global Hawk</v>
      </c>
      <c r="G2" t="str">
        <f>'Aerial Platform'!F2</f>
        <v>Triton</v>
      </c>
      <c r="H2" t="str">
        <f>'Aerial Platform'!G2</f>
        <v>Shadow</v>
      </c>
      <c r="I2" t="str">
        <f>'Aerial Platform'!H2</f>
        <v>Fire Scout</v>
      </c>
      <c r="J2" t="str">
        <f>'Aerial Platform'!I2</f>
        <v>Reaper</v>
      </c>
      <c r="K2" t="str">
        <f>'Aerial Platform'!J2</f>
        <v>Raven</v>
      </c>
      <c r="L2" t="str">
        <f>'Aerial Platform'!K2</f>
        <v>Neptune</v>
      </c>
      <c r="M2" t="str">
        <f>'Aerial Platform'!L2</f>
        <v>T-Hawk</v>
      </c>
      <c r="N2" t="str">
        <f>'Aerial Platform'!M2</f>
        <v>Hummingbird</v>
      </c>
      <c r="O2" t="str">
        <f>'Aerial Platform'!N2</f>
        <v>Aerosonde Mark 4.7</v>
      </c>
      <c r="P2" t="str">
        <f>'Aerial Platform'!O2</f>
        <v>Blackjack</v>
      </c>
      <c r="Q2" t="str">
        <f>'Aerial Platform'!P2</f>
        <v>UCAS-D</v>
      </c>
      <c r="R2" t="str">
        <f>'Aerial Platform'!Q2</f>
        <v>Wasp III</v>
      </c>
      <c r="S2" t="str">
        <f>'Aerial Platform'!R2</f>
        <v>Shrike</v>
      </c>
      <c r="T2" t="str">
        <f>'Aerial Platform'!S2</f>
        <v>Scan Eagle</v>
      </c>
      <c r="U2" t="str">
        <f>'Aerial Platform'!T2</f>
        <v>Puma AE</v>
      </c>
      <c r="V2" t="str">
        <f>'Aerial Platform'!U2</f>
        <v>PTDS 74K</v>
      </c>
      <c r="W2" t="str">
        <f>'Aerial Platform'!V2</f>
        <v>RAID Tower</v>
      </c>
      <c r="X2" t="str">
        <f>'Aerial Platform'!W2</f>
        <v>Cerberus Tower</v>
      </c>
      <c r="Y2" t="str">
        <f>'Aerial Platform'!X2</f>
        <v>TIF-25K</v>
      </c>
    </row>
    <row r="3" spans="1:25" x14ac:dyDescent="0.3">
      <c r="A3" t="s">
        <v>76</v>
      </c>
      <c r="B3">
        <f>'UAV V(x)'!B3</f>
        <v>0</v>
      </c>
      <c r="C3">
        <f>IF('Aerial Platform'!B9&gt;3,0,IF('Aerial Platform'!B9&gt;0,1,0))</f>
        <v>0</v>
      </c>
      <c r="D3">
        <f>IF('Aerial Platform'!C9&gt;3,0,IF('Aerial Platform'!C9&gt;0,1,0))</f>
        <v>0</v>
      </c>
      <c r="E3">
        <f>IF('Aerial Platform'!D9&gt;3,0,IF('Aerial Platform'!D9&gt;0,1,0))</f>
        <v>0</v>
      </c>
      <c r="F3">
        <f>IF('Aerial Platform'!E9&gt;3,0,IF('Aerial Platform'!E9&gt;0,1,0))</f>
        <v>0</v>
      </c>
      <c r="G3">
        <f>IF('Aerial Platform'!F9&gt;3,0,IF('Aerial Platform'!F9&gt;0,1,0))</f>
        <v>0</v>
      </c>
      <c r="H3">
        <f>IF('Aerial Platform'!G9&gt;3,0,IF('Aerial Platform'!G9&gt;0,1,0))</f>
        <v>0</v>
      </c>
      <c r="I3">
        <f>IF('Aerial Platform'!H9&gt;3,0,IF('Aerial Platform'!H9&gt;0,1,0))</f>
        <v>0</v>
      </c>
      <c r="J3">
        <f>IF('Aerial Platform'!I9&gt;3,0,IF('Aerial Platform'!I9&gt;0,1,0))</f>
        <v>0</v>
      </c>
      <c r="K3">
        <f>IF('Aerial Platform'!J9&gt;3,0,IF('Aerial Platform'!J9&gt;0,1,0))</f>
        <v>1</v>
      </c>
      <c r="L3">
        <f>IF('Aerial Platform'!K9&gt;3,0,IF('Aerial Platform'!K9&gt;0,1,0))</f>
        <v>0</v>
      </c>
      <c r="M3">
        <f>IF('Aerial Platform'!L9&gt;3,0,IF('Aerial Platform'!L9&gt;0,1,0))</f>
        <v>0</v>
      </c>
      <c r="N3">
        <f>IF('Aerial Platform'!M9&gt;3,0,IF('Aerial Platform'!M9&gt;0,1,0))</f>
        <v>0</v>
      </c>
      <c r="O3">
        <f>IF('Aerial Platform'!N9&gt;3,0,IF('Aerial Platform'!N9&gt;0,1,0))</f>
        <v>0</v>
      </c>
      <c r="P3">
        <f>IF('Aerial Platform'!O9&gt;3,0,IF('Aerial Platform'!O9&gt;0,1,0))</f>
        <v>0</v>
      </c>
      <c r="Q3">
        <f>IF('Aerial Platform'!P9&gt;3,0,IF('Aerial Platform'!P9&gt;0,1,0))</f>
        <v>0</v>
      </c>
      <c r="R3">
        <f>IF('Aerial Platform'!Q9&gt;3,0,IF('Aerial Platform'!Q9&gt;0,1,0))</f>
        <v>1</v>
      </c>
      <c r="S3">
        <f>IF('Aerial Platform'!R9&gt;3,0,IF('Aerial Platform'!R9&gt;0,1,0))</f>
        <v>0</v>
      </c>
      <c r="T3">
        <f>IF('Aerial Platform'!S9&gt;3,0,IF('Aerial Platform'!S9&gt;0,1,0))</f>
        <v>0</v>
      </c>
      <c r="U3">
        <f>IF('Aerial Platform'!T9&gt;3,0,IF('Aerial Platform'!T9&gt;0,1,0))</f>
        <v>0</v>
      </c>
      <c r="V3">
        <f>IF('Aerial Platform'!U9&gt;3,0,IF('Aerial Platform'!U9&gt;0,1,0))</f>
        <v>0</v>
      </c>
      <c r="W3">
        <f>IF('Aerial Platform'!V9&gt;3,0,IF('Aerial Platform'!V9&gt;0,1,0))</f>
        <v>0</v>
      </c>
      <c r="X3">
        <f>IF('Aerial Platform'!W9&gt;3,0,IF('Aerial Platform'!W9&gt;0,1,0))</f>
        <v>0</v>
      </c>
      <c r="Y3">
        <f>IF('Aerial Platform'!X9&gt;3,0,IF('Aerial Platform'!X9&gt;0,1,0))</f>
        <v>0</v>
      </c>
    </row>
    <row r="4" spans="1:25" x14ac:dyDescent="0.3">
      <c r="A4" t="s">
        <v>156</v>
      </c>
      <c r="B4">
        <f>'UAV V(x)'!B4</f>
        <v>0</v>
      </c>
      <c r="C4">
        <f>VLOOKUP('Aerial Platform'!B22,'UAV V(x)'!$Z$2:$AA$6,2,FALSE)</f>
        <v>0</v>
      </c>
      <c r="D4">
        <f>VLOOKUP('Aerial Platform'!C22,'UAV V(x)'!$Z$2:$AA$6,2,FALSE)</f>
        <v>0</v>
      </c>
      <c r="E4">
        <f>VLOOKUP('Aerial Platform'!D22,'UAV V(x)'!$Z$2:$AA$6,2,FALSE)</f>
        <v>0</v>
      </c>
      <c r="F4">
        <f>VLOOKUP('Aerial Platform'!E22,'UAV V(x)'!$Z$2:$AA$6,2,FALSE)</f>
        <v>0</v>
      </c>
      <c r="G4">
        <f>VLOOKUP('Aerial Platform'!F22,'UAV V(x)'!$Z$2:$AA$6,2,FALSE)</f>
        <v>0</v>
      </c>
      <c r="H4">
        <f>VLOOKUP('Aerial Platform'!G22,'UAV V(x)'!$Z$2:$AA$6,2,FALSE)</f>
        <v>0.6</v>
      </c>
      <c r="I4">
        <f>VLOOKUP('Aerial Platform'!H22,'UAV V(x)'!$Z$2:$AA$6,2,FALSE)</f>
        <v>1</v>
      </c>
      <c r="J4">
        <f>VLOOKUP('Aerial Platform'!I22,'UAV V(x)'!$Z$2:$AA$6,2,FALSE)</f>
        <v>0</v>
      </c>
      <c r="K4">
        <f>VLOOKUP('Aerial Platform'!J22,'UAV V(x)'!$Z$2:$AA$6,2,FALSE)</f>
        <v>0.8</v>
      </c>
      <c r="L4">
        <f>VLOOKUP('Aerial Platform'!K22,'UAV V(x)'!$Z$2:$AA$6,2,FALSE)</f>
        <v>0.6</v>
      </c>
      <c r="M4">
        <f>VLOOKUP('Aerial Platform'!L22,'UAV V(x)'!$Z$2:$AA$6,2,FALSE)</f>
        <v>1</v>
      </c>
      <c r="N4">
        <f>VLOOKUP('Aerial Platform'!M22,'UAV V(x)'!$Z$2:$AA$6,2,FALSE)</f>
        <v>1</v>
      </c>
      <c r="O4">
        <f>VLOOKUP('Aerial Platform'!N22,'UAV V(x)'!$Z$2:$AA$6,2,FALSE)</f>
        <v>0.6</v>
      </c>
      <c r="P4">
        <f>VLOOKUP('Aerial Platform'!O22,'UAV V(x)'!$Z$2:$AA$6,2,FALSE)</f>
        <v>0.6</v>
      </c>
      <c r="Q4">
        <f>VLOOKUP('Aerial Platform'!P22,'UAV V(x)'!$Z$2:$AA$6,2,FALSE)</f>
        <v>0.2</v>
      </c>
      <c r="R4">
        <f>VLOOKUP('Aerial Platform'!Q22,'UAV V(x)'!$Z$2:$AA$6,2,FALSE)</f>
        <v>0.8</v>
      </c>
      <c r="S4">
        <f>VLOOKUP('Aerial Platform'!R22,'UAV V(x)'!$Z$2:$AA$6,2,FALSE)</f>
        <v>1</v>
      </c>
      <c r="T4">
        <f>VLOOKUP('Aerial Platform'!S22,'UAV V(x)'!$Z$2:$AA$6,2,FALSE)</f>
        <v>0.6</v>
      </c>
      <c r="U4">
        <f>VLOOKUP('Aerial Platform'!T22,'UAV V(x)'!$Z$2:$AA$6,2,FALSE)</f>
        <v>0.8</v>
      </c>
      <c r="V4">
        <f>VLOOKUP('Aerial Platform'!U22,'UAV V(x)'!$Z$2:$AA$6,2,FALSE)</f>
        <v>1</v>
      </c>
      <c r="W4">
        <f>VLOOKUP('Aerial Platform'!V22,'UAV V(x)'!$Z$2:$AA$6,2,FALSE)</f>
        <v>1</v>
      </c>
      <c r="X4">
        <f>VLOOKUP('Aerial Platform'!W22,'UAV V(x)'!$Z$2:$AA$6,2,FALSE)</f>
        <v>1</v>
      </c>
      <c r="Y4">
        <f>VLOOKUP('Aerial Platform'!X22,'UAV V(x)'!$Z$2:$AA$6,2,FALSE)</f>
        <v>1</v>
      </c>
    </row>
    <row r="5" spans="1:25" x14ac:dyDescent="0.3">
      <c r="A5" t="s">
        <v>112</v>
      </c>
      <c r="B5">
        <f>'UAV V(x)'!B5</f>
        <v>0</v>
      </c>
      <c r="C5">
        <f>VLOOKUP('Aerial Platform'!B23,'UAV V(x)'!$AB$2:$AC$8,2,FALSE)</f>
        <v>0</v>
      </c>
      <c r="D5">
        <f>VLOOKUP('Aerial Platform'!C23,'UAV V(x)'!$AB$2:$AC$8,2,FALSE)</f>
        <v>0</v>
      </c>
      <c r="E5">
        <f>VLOOKUP('Aerial Platform'!D23,'UAV V(x)'!$AB$2:$AC$8,2,FALSE)</f>
        <v>0</v>
      </c>
      <c r="F5">
        <f>VLOOKUP('Aerial Platform'!E23,'UAV V(x)'!$AB$2:$AC$8,2,FALSE)</f>
        <v>0</v>
      </c>
      <c r="G5">
        <f>VLOOKUP('Aerial Platform'!F23,'UAV V(x)'!$AB$2:$AC$8,2,FALSE)</f>
        <v>0</v>
      </c>
      <c r="H5">
        <f>VLOOKUP('Aerial Platform'!G23,'UAV V(x)'!$AB$2:$AC$8,2,FALSE)</f>
        <v>0.3</v>
      </c>
      <c r="I5">
        <f>VLOOKUP('Aerial Platform'!H23,'UAV V(x)'!$AB$2:$AC$8,2,FALSE)</f>
        <v>1</v>
      </c>
      <c r="J5">
        <f>VLOOKUP('Aerial Platform'!I23,'UAV V(x)'!$AB$2:$AC$8,2,FALSE)</f>
        <v>0</v>
      </c>
      <c r="K5">
        <f>VLOOKUP('Aerial Platform'!J23,'UAV V(x)'!$AB$2:$AC$8,2,FALSE)</f>
        <v>0.8</v>
      </c>
      <c r="L5">
        <f>VLOOKUP('Aerial Platform'!K23,'UAV V(x)'!$AB$2:$AC$8,2,FALSE)</f>
        <v>0.9</v>
      </c>
      <c r="M5">
        <f>VLOOKUP('Aerial Platform'!L23,'UAV V(x)'!$AB$2:$AC$8,2,FALSE)</f>
        <v>1</v>
      </c>
      <c r="N5">
        <f>VLOOKUP('Aerial Platform'!M23,'UAV V(x)'!$AB$2:$AC$8,2,FALSE)</f>
        <v>1</v>
      </c>
      <c r="O5">
        <f>VLOOKUP('Aerial Platform'!N23,'UAV V(x)'!$AB$2:$AC$8,2,FALSE)</f>
        <v>0.6</v>
      </c>
      <c r="P5">
        <f>VLOOKUP('Aerial Platform'!O23,'UAV V(x)'!$AB$2:$AC$8,2,FALSE)</f>
        <v>0.6</v>
      </c>
      <c r="Q5">
        <f>VLOOKUP('Aerial Platform'!P23,'UAV V(x)'!$AB$2:$AC$8,2,FALSE)</f>
        <v>0.3</v>
      </c>
      <c r="R5">
        <f>VLOOKUP('Aerial Platform'!Q23,'UAV V(x)'!$AB$2:$AC$8,2,FALSE)</f>
        <v>0.8</v>
      </c>
      <c r="S5">
        <f>VLOOKUP('Aerial Platform'!R23,'UAV V(x)'!$AB$2:$AC$8,2,FALSE)</f>
        <v>1</v>
      </c>
      <c r="T5">
        <f>VLOOKUP('Aerial Platform'!S23,'UAV V(x)'!$AB$2:$AC$8,2,FALSE)</f>
        <v>0.6</v>
      </c>
      <c r="U5">
        <f>VLOOKUP('Aerial Platform'!T23,'UAV V(x)'!$AB$2:$AC$8,2,FALSE)</f>
        <v>0.8</v>
      </c>
      <c r="V5">
        <f>VLOOKUP('Aerial Platform'!U23,'UAV V(x)'!$AB$2:$AC$8,2,FALSE)</f>
        <v>1</v>
      </c>
      <c r="W5">
        <f>VLOOKUP('Aerial Platform'!V23,'UAV V(x)'!$AB$2:$AC$8,2,FALSE)</f>
        <v>1</v>
      </c>
      <c r="X5">
        <f>VLOOKUP('Aerial Platform'!W23,'UAV V(x)'!$AB$2:$AC$8,2,FALSE)</f>
        <v>1</v>
      </c>
      <c r="Y5">
        <f>VLOOKUP('Aerial Platform'!X23,'UAV V(x)'!$AB$2:$AC$8,2,FALSE)</f>
        <v>1</v>
      </c>
    </row>
    <row r="6" spans="1:25" x14ac:dyDescent="0.3">
      <c r="A6" t="s">
        <v>118</v>
      </c>
      <c r="B6">
        <f>'UAV V(x)'!B6</f>
        <v>0.2</v>
      </c>
      <c r="C6">
        <f>IF('Aerial Platform'!B10&lt;'UAV V(x)'!$C6,0,IF('Aerial Platform'!B10&gt;'UAV V(x)'!$D6,1,'UAV V(x)'!$Q6*('Aerial Platform'!B10)^5+'UAV V(x)'!$R6*('Aerial Platform'!B10)^4+'UAV V(x)'!$S6*('Aerial Platform'!B10)^3+'UAV V(x)'!$T6*('Aerial Platform'!B10)^2+'UAV V(x)'!$U6*('Aerial Platform'!B10)+'UAV V(x)'!$V6))</f>
        <v>1</v>
      </c>
      <c r="D6">
        <f>IF('Aerial Platform'!C10&lt;'UAV V(x)'!$C6,0,IF('Aerial Platform'!C10&gt;'UAV V(x)'!$D6,1,'UAV V(x)'!$Q6*('Aerial Platform'!C10)^5+'UAV V(x)'!$R6*('Aerial Platform'!C10)^4+'UAV V(x)'!$S6*('Aerial Platform'!C10)^3+'UAV V(x)'!$T6*('Aerial Platform'!C10)^2+'UAV V(x)'!$U6*('Aerial Platform'!C10)+'UAV V(x)'!$V6))</f>
        <v>1</v>
      </c>
      <c r="E6">
        <f>IF('Aerial Platform'!D10&lt;'UAV V(x)'!$C6,0,IF('Aerial Platform'!D10&gt;'UAV V(x)'!$D6,1,'UAV V(x)'!$Q6*('Aerial Platform'!D10)^5+'UAV V(x)'!$R6*('Aerial Platform'!D10)^4+'UAV V(x)'!$S6*('Aerial Platform'!D10)^3+'UAV V(x)'!$T6*('Aerial Platform'!D10)^2+'UAV V(x)'!$U6*('Aerial Platform'!D10)+'UAV V(x)'!$V6))</f>
        <v>1</v>
      </c>
      <c r="F6">
        <f>IF('Aerial Platform'!E10&lt;'UAV V(x)'!$C6,0,IF('Aerial Platform'!E10&gt;'UAV V(x)'!$D6,1,'UAV V(x)'!$Q6*('Aerial Platform'!E10)^5+'UAV V(x)'!$R6*('Aerial Platform'!E10)^4+'UAV V(x)'!$S6*('Aerial Platform'!E10)^3+'UAV V(x)'!$T6*('Aerial Platform'!E10)^2+'UAV V(x)'!$U6*('Aerial Platform'!E10)+'UAV V(x)'!$V6))</f>
        <v>1</v>
      </c>
      <c r="G6">
        <f>IF('Aerial Platform'!F10&lt;'UAV V(x)'!$C6,0,IF('Aerial Platform'!F10&gt;'UAV V(x)'!$D6,1,'UAV V(x)'!$Q6*('Aerial Platform'!F10)^5+'UAV V(x)'!$R6*('Aerial Platform'!F10)^4+'UAV V(x)'!$S6*('Aerial Platform'!F10)^3+'UAV V(x)'!$T6*('Aerial Platform'!F10)^2+'UAV V(x)'!$U6*('Aerial Platform'!F10)+'UAV V(x)'!$V6))</f>
        <v>1</v>
      </c>
      <c r="H6">
        <f>IF('Aerial Platform'!G10&lt;'UAV V(x)'!$C6,0,IF('Aerial Platform'!G10&gt;'UAV V(x)'!$D6,1,'UAV V(x)'!$Q6*('Aerial Platform'!G10)^5+'UAV V(x)'!$R6*('Aerial Platform'!G10)^4+'UAV V(x)'!$S6*('Aerial Platform'!G10)^3+'UAV V(x)'!$T6*('Aerial Platform'!G10)^2+'UAV V(x)'!$U6*('Aerial Platform'!G10)+'UAV V(x)'!$V6))</f>
        <v>0.7487309869408002</v>
      </c>
      <c r="I6">
        <f>IF('Aerial Platform'!H10&lt;'UAV V(x)'!$C6,0,IF('Aerial Platform'!H10&gt;'UAV V(x)'!$D6,1,'UAV V(x)'!$Q6*('Aerial Platform'!H10)^5+'UAV V(x)'!$R6*('Aerial Platform'!H10)^4+'UAV V(x)'!$S6*('Aerial Platform'!H10)^3+'UAV V(x)'!$T6*('Aerial Platform'!H10)^2+'UAV V(x)'!$U6*('Aerial Platform'!H10)+'UAV V(x)'!$V6))</f>
        <v>1</v>
      </c>
      <c r="J6">
        <f>IF('Aerial Platform'!I10&lt;'UAV V(x)'!$C6,0,IF('Aerial Platform'!I10&gt;'UAV V(x)'!$D6,1,'UAV V(x)'!$Q6*('Aerial Platform'!I10)^5+'UAV V(x)'!$R6*('Aerial Platform'!I10)^4+'UAV V(x)'!$S6*('Aerial Platform'!I10)^3+'UAV V(x)'!$T6*('Aerial Platform'!I10)^2+'UAV V(x)'!$U6*('Aerial Platform'!I10)+'UAV V(x)'!$V6))</f>
        <v>1</v>
      </c>
      <c r="K6">
        <f>IF('Aerial Platform'!J10&lt;'UAV V(x)'!$C6,0,IF('Aerial Platform'!J10&gt;'UAV V(x)'!$D6,1,'UAV V(x)'!$Q6*('Aerial Platform'!J10)^5+'UAV V(x)'!$R6*('Aerial Platform'!J10)^4+'UAV V(x)'!$S6*('Aerial Platform'!J10)^3+'UAV V(x)'!$T6*('Aerial Platform'!J10)^2+'UAV V(x)'!$U6*('Aerial Platform'!J10)+'UAV V(x)'!$V6))</f>
        <v>0</v>
      </c>
      <c r="L6">
        <f>IF('Aerial Platform'!K10&lt;'UAV V(x)'!$C6,0,IF('Aerial Platform'!K10&gt;'UAV V(x)'!$D6,1,'UAV V(x)'!$Q6*('Aerial Platform'!K10)^5+'UAV V(x)'!$R6*('Aerial Platform'!K10)^4+'UAV V(x)'!$S6*('Aerial Platform'!K10)^3+'UAV V(x)'!$T6*('Aerial Platform'!K10)^2+'UAV V(x)'!$U6*('Aerial Platform'!K10)+'UAV V(x)'!$V6))</f>
        <v>0.32076376841920001</v>
      </c>
      <c r="M6">
        <f>IF('Aerial Platform'!L10&lt;'UAV V(x)'!$C6,0,IF('Aerial Platform'!L10&gt;'UAV V(x)'!$D6,1,'UAV V(x)'!$Q6*('Aerial Platform'!L10)^5+'UAV V(x)'!$R6*('Aerial Platform'!L10)^4+'UAV V(x)'!$S6*('Aerial Platform'!L10)^3+'UAV V(x)'!$T6*('Aerial Platform'!L10)^2+'UAV V(x)'!$U6*('Aerial Platform'!L10)+'UAV V(x)'!$V6))</f>
        <v>0</v>
      </c>
      <c r="N6">
        <f>IF('Aerial Platform'!M10&lt;'UAV V(x)'!$C6,0,IF('Aerial Platform'!M10&gt;'UAV V(x)'!$D6,1,'UAV V(x)'!$Q6*('Aerial Platform'!M10)^5+'UAV V(x)'!$R6*('Aerial Platform'!M10)^4+'UAV V(x)'!$S6*('Aerial Platform'!M10)^3+'UAV V(x)'!$T6*('Aerial Platform'!M10)^2+'UAV V(x)'!$U6*('Aerial Platform'!M10)+'UAV V(x)'!$V6))</f>
        <v>1</v>
      </c>
      <c r="O6">
        <f>IF('Aerial Platform'!N10&lt;'UAV V(x)'!$C6,0,IF('Aerial Platform'!N10&gt;'UAV V(x)'!$D6,1,'UAV V(x)'!$Q6*('Aerial Platform'!N10)^5+'UAV V(x)'!$R6*('Aerial Platform'!N10)^4+'UAV V(x)'!$S6*('Aerial Platform'!N10)^3+'UAV V(x)'!$T6*('Aerial Platform'!N10)^2+'UAV V(x)'!$U6*('Aerial Platform'!N10)+'UAV V(x)'!$V6))</f>
        <v>0.1645329888956</v>
      </c>
      <c r="P6">
        <f>IF('Aerial Platform'!O10&lt;'UAV V(x)'!$C6,0,IF('Aerial Platform'!O10&gt;'UAV V(x)'!$D6,1,'UAV V(x)'!$Q6*('Aerial Platform'!O10)^5+'UAV V(x)'!$R6*('Aerial Platform'!O10)^4+'UAV V(x)'!$S6*('Aerial Platform'!O10)^3+'UAV V(x)'!$T6*('Aerial Platform'!O10)^2+'UAV V(x)'!$U6*('Aerial Platform'!O10)+'UAV V(x)'!$V6))</f>
        <v>0.53313371095993667</v>
      </c>
      <c r="Q6">
        <f>IF('Aerial Platform'!P10&lt;'UAV V(x)'!$C6,0,IF('Aerial Platform'!P10&gt;'UAV V(x)'!$D6,1,'UAV V(x)'!$Q6*('Aerial Platform'!P10)^5+'UAV V(x)'!$R6*('Aerial Platform'!P10)^4+'UAV V(x)'!$S6*('Aerial Platform'!P10)^3+'UAV V(x)'!$T6*('Aerial Platform'!P10)^2+'UAV V(x)'!$U6*('Aerial Platform'!P10)+'UAV V(x)'!$V6))</f>
        <v>1</v>
      </c>
      <c r="R6">
        <f>IF('Aerial Platform'!Q10&lt;'UAV V(x)'!$C6,0,IF('Aerial Platform'!Q10&gt;'UAV V(x)'!$D6,1,'UAV V(x)'!$Q6*('Aerial Platform'!Q10)^5+'UAV V(x)'!$R6*('Aerial Platform'!Q10)^4+'UAV V(x)'!$S6*('Aerial Platform'!Q10)^3+'UAV V(x)'!$T6*('Aerial Platform'!Q10)^2+'UAV V(x)'!$U6*('Aerial Platform'!Q10)+'UAV V(x)'!$V6))</f>
        <v>0</v>
      </c>
      <c r="S6">
        <f>IF('Aerial Platform'!R10&lt;'UAV V(x)'!$C6,0,IF('Aerial Platform'!R10&gt;'UAV V(x)'!$D6,1,'UAV V(x)'!$Q6*('Aerial Platform'!R10)^5+'UAV V(x)'!$R6*('Aerial Platform'!R10)^4+'UAV V(x)'!$S6*('Aerial Platform'!R10)^3+'UAV V(x)'!$T6*('Aerial Platform'!R10)^2+'UAV V(x)'!$U6*('Aerial Platform'!R10)+'UAV V(x)'!$V6))</f>
        <v>0</v>
      </c>
      <c r="T6">
        <f>IF('Aerial Platform'!S10&lt;'UAV V(x)'!$C6,0,IF('Aerial Platform'!S10&gt;'UAV V(x)'!$D6,1,'UAV V(x)'!$Q6*('Aerial Platform'!S10)^5+'UAV V(x)'!$R6*('Aerial Platform'!S10)^4+'UAV V(x)'!$S6*('Aerial Platform'!S10)^3+'UAV V(x)'!$T6*('Aerial Platform'!S10)^2+'UAV V(x)'!$U6*('Aerial Platform'!S10)+'UAV V(x)'!$V6))</f>
        <v>0.1197366510053426</v>
      </c>
      <c r="U6">
        <f>IF('Aerial Platform'!T10&lt;'UAV V(x)'!$C6,0,IF('Aerial Platform'!T10&gt;'UAV V(x)'!$D6,1,'UAV V(x)'!$Q6*('Aerial Platform'!T10)^5+'UAV V(x)'!$R6*('Aerial Platform'!T10)^4+'UAV V(x)'!$S6*('Aerial Platform'!T10)^3+'UAV V(x)'!$T6*('Aerial Platform'!T10)^2+'UAV V(x)'!$U6*('Aerial Platform'!T10)+'UAV V(x)'!$V6))</f>
        <v>0</v>
      </c>
      <c r="V6">
        <f>IF('Aerial Platform'!U10&lt;'UAV V(x)'!$C6,0,IF('Aerial Platform'!U10&gt;'UAV V(x)'!$D6,1,'UAV V(x)'!$Q6*('Aerial Platform'!U10)^5+'UAV V(x)'!$R6*('Aerial Platform'!U10)^4+'UAV V(x)'!$S6*('Aerial Platform'!U10)^3+'UAV V(x)'!$T6*('Aerial Platform'!U10)^2+'UAV V(x)'!$U6*('Aerial Platform'!U10)+'UAV V(x)'!$V6))</f>
        <v>1</v>
      </c>
      <c r="W6">
        <f>IF('Aerial Platform'!V10&lt;'UAV V(x)'!$C6,0,IF('Aerial Platform'!V10&gt;'UAV V(x)'!$D6,1,'UAV V(x)'!$Q6*('Aerial Platform'!V10)^5+'UAV V(x)'!$R6*('Aerial Platform'!V10)^4+'UAV V(x)'!$S6*('Aerial Platform'!V10)^3+'UAV V(x)'!$T6*('Aerial Platform'!V10)^2+'UAV V(x)'!$U6*('Aerial Platform'!V10)+'UAV V(x)'!$V6))</f>
        <v>0.94613139000000446</v>
      </c>
      <c r="X6">
        <f>IF('Aerial Platform'!W10&lt;'UAV V(x)'!$C6,0,IF('Aerial Platform'!W10&gt;'UAV V(x)'!$D6,1,'UAV V(x)'!$Q6*('Aerial Platform'!W10)^5+'UAV V(x)'!$R6*('Aerial Platform'!W10)^4+'UAV V(x)'!$S6*('Aerial Platform'!W10)^3+'UAV V(x)'!$T6*('Aerial Platform'!W10)^2+'UAV V(x)'!$U6*('Aerial Platform'!W10)+'UAV V(x)'!$V6))</f>
        <v>0.94613139000000446</v>
      </c>
      <c r="Y6">
        <f>IF('Aerial Platform'!X10&lt;'UAV V(x)'!$C6,0,IF('Aerial Platform'!X10&gt;'UAV V(x)'!$D6,1,'UAV V(x)'!$Q6*('Aerial Platform'!X10)^5+'UAV V(x)'!$R6*('Aerial Platform'!X10)^4+'UAV V(x)'!$S6*('Aerial Platform'!X10)^3+'UAV V(x)'!$T6*('Aerial Platform'!X10)^2+'UAV V(x)'!$U6*('Aerial Platform'!X10)+'UAV V(x)'!$V6))</f>
        <v>0.94658644373093315</v>
      </c>
    </row>
    <row r="7" spans="1:25" x14ac:dyDescent="0.3">
      <c r="A7" t="s">
        <v>77</v>
      </c>
      <c r="B7">
        <f>'UAV V(x)'!B7</f>
        <v>0.3</v>
      </c>
      <c r="C7">
        <f>IF('Aerial Platform'!B11&lt;'UAV V(x)'!$C7,0,IF('Aerial Platform'!B11&gt;'UAV V(x)'!$D7,1,'UAV V(x)'!$R7*('Aerial Platform'!B11)^4+'UAV V(x)'!$S7*('Aerial Platform'!B11)^3+'UAV V(x)'!$T7*('Aerial Platform'!B11)^2+'UAV V(x)'!$U7*('Aerial Platform'!B11)+'UAV V(x)'!$V7))</f>
        <v>1</v>
      </c>
      <c r="D7">
        <f>IF('Aerial Platform'!C11&lt;'UAV V(x)'!$C7,0,IF('Aerial Platform'!C11&gt;'UAV V(x)'!$D7,1,'UAV V(x)'!$R7*('Aerial Platform'!C11)^4+'UAV V(x)'!$S7*('Aerial Platform'!C11)^3+'UAV V(x)'!$T7*('Aerial Platform'!C11)^2+'UAV V(x)'!$U7*('Aerial Platform'!C11)+'UAV V(x)'!$V7))</f>
        <v>1</v>
      </c>
      <c r="E7">
        <f>IF('Aerial Platform'!D11&lt;'UAV V(x)'!$C7,0,IF('Aerial Platform'!D11&gt;'UAV V(x)'!$D7,1,'UAV V(x)'!$R7*('Aerial Platform'!D11)^4+'UAV V(x)'!$S7*('Aerial Platform'!D11)^3+'UAV V(x)'!$T7*('Aerial Platform'!D11)^2+'UAV V(x)'!$U7*('Aerial Platform'!D11)+'UAV V(x)'!$V7))</f>
        <v>1</v>
      </c>
      <c r="F7">
        <f>IF('Aerial Platform'!E11&lt;'UAV V(x)'!$C7,0,IF('Aerial Platform'!E11&gt;'UAV V(x)'!$D7,1,'UAV V(x)'!$R7*('Aerial Platform'!E11)^4+'UAV V(x)'!$S7*('Aerial Platform'!E11)^3+'UAV V(x)'!$T7*('Aerial Platform'!E11)^2+'UAV V(x)'!$U7*('Aerial Platform'!E11)+'UAV V(x)'!$V7))</f>
        <v>1</v>
      </c>
      <c r="G7">
        <f>IF('Aerial Platform'!F11&lt;'UAV V(x)'!$C7,0,IF('Aerial Platform'!F11&gt;'UAV V(x)'!$D7,1,'UAV V(x)'!$R7*('Aerial Platform'!F11)^4+'UAV V(x)'!$S7*('Aerial Platform'!F11)^3+'UAV V(x)'!$T7*('Aerial Platform'!F11)^2+'UAV V(x)'!$U7*('Aerial Platform'!F11)+'UAV V(x)'!$V7))</f>
        <v>1</v>
      </c>
      <c r="H7">
        <f>IF('Aerial Platform'!G11&lt;'UAV V(x)'!$C7,0,IF('Aerial Platform'!G11&gt;'UAV V(x)'!$D7,1,'UAV V(x)'!$R7*('Aerial Platform'!G11)^4+'UAV V(x)'!$S7*('Aerial Platform'!G11)^3+'UAV V(x)'!$T7*('Aerial Platform'!G11)^2+'UAV V(x)'!$U7*('Aerial Platform'!G11)+'UAV V(x)'!$V7))</f>
        <v>1</v>
      </c>
      <c r="I7">
        <f>IF('Aerial Platform'!H11&lt;'UAV V(x)'!$C7,0,IF('Aerial Platform'!H11&gt;'UAV V(x)'!$D7,1,'UAV V(x)'!$R7*('Aerial Platform'!H11)^4+'UAV V(x)'!$S7*('Aerial Platform'!H11)^3+'UAV V(x)'!$T7*('Aerial Platform'!H11)^2+'UAV V(x)'!$U7*('Aerial Platform'!H11)+'UAV V(x)'!$V7))</f>
        <v>1</v>
      </c>
      <c r="J7">
        <f>IF('Aerial Platform'!I11&lt;'UAV V(x)'!$C7,0,IF('Aerial Platform'!I11&gt;'UAV V(x)'!$D7,1,'UAV V(x)'!$R7*('Aerial Platform'!I11)^4+'UAV V(x)'!$S7*('Aerial Platform'!I11)^3+'UAV V(x)'!$T7*('Aerial Platform'!I11)^2+'UAV V(x)'!$U7*('Aerial Platform'!I11)+'UAV V(x)'!$V7))</f>
        <v>1</v>
      </c>
      <c r="K7">
        <f>IF('Aerial Platform'!J11&lt;'UAV V(x)'!$C7,0,IF('Aerial Platform'!J11&gt;'UAV V(x)'!$D7,1,'UAV V(x)'!$R7*('Aerial Platform'!J11)^4+'UAV V(x)'!$S7*('Aerial Platform'!J11)^3+'UAV V(x)'!$T7*('Aerial Platform'!J11)^2+'UAV V(x)'!$U7*('Aerial Platform'!J11)+'UAV V(x)'!$V7))</f>
        <v>1</v>
      </c>
      <c r="L7">
        <f>IF('Aerial Platform'!K11&lt;'UAV V(x)'!$C7,0,IF('Aerial Platform'!K11&gt;'UAV V(x)'!$D7,1,'UAV V(x)'!$R7*('Aerial Platform'!K11)^4+'UAV V(x)'!$S7*('Aerial Platform'!K11)^3+'UAV V(x)'!$T7*('Aerial Platform'!K11)^2+'UAV V(x)'!$U7*('Aerial Platform'!K11)+'UAV V(x)'!$V7))</f>
        <v>1</v>
      </c>
      <c r="M7">
        <f>IF('Aerial Platform'!L11&lt;'UAV V(x)'!$C7,0,IF('Aerial Platform'!L11&gt;'UAV V(x)'!$D7,1,'UAV V(x)'!$R7*('Aerial Platform'!L11)^4+'UAV V(x)'!$S7*('Aerial Platform'!L11)^3+'UAV V(x)'!$T7*('Aerial Platform'!L11)^2+'UAV V(x)'!$U7*('Aerial Platform'!L11)+'UAV V(x)'!$V7))</f>
        <v>0.22264720087499998</v>
      </c>
      <c r="N7">
        <f>IF('Aerial Platform'!M11&lt;'UAV V(x)'!$C7,0,IF('Aerial Platform'!M11&gt;'UAV V(x)'!$D7,1,'UAV V(x)'!$R7*('Aerial Platform'!M11)^4+'UAV V(x)'!$S7*('Aerial Platform'!M11)^3+'UAV V(x)'!$T7*('Aerial Platform'!M11)^2+'UAV V(x)'!$U7*('Aerial Platform'!M11)+'UAV V(x)'!$V7))</f>
        <v>1</v>
      </c>
      <c r="O7">
        <f>IF('Aerial Platform'!N11&lt;'UAV V(x)'!$C7,0,IF('Aerial Platform'!N11&gt;'UAV V(x)'!$D7,1,'UAV V(x)'!$R7*('Aerial Platform'!N11)^4+'UAV V(x)'!$S7*('Aerial Platform'!N11)^3+'UAV V(x)'!$T7*('Aerial Platform'!N11)^2+'UAV V(x)'!$U7*('Aerial Platform'!N11)+'UAV V(x)'!$V7))</f>
        <v>1</v>
      </c>
      <c r="P7">
        <f>IF('Aerial Platform'!O11&lt;'UAV V(x)'!$C7,0,IF('Aerial Platform'!O11&gt;'UAV V(x)'!$D7,1,'UAV V(x)'!$R7*('Aerial Platform'!O11)^4+'UAV V(x)'!$S7*('Aerial Platform'!O11)^3+'UAV V(x)'!$T7*('Aerial Platform'!O11)^2+'UAV V(x)'!$U7*('Aerial Platform'!O11)+'UAV V(x)'!$V7))</f>
        <v>1</v>
      </c>
      <c r="Q7">
        <f>IF('Aerial Platform'!P11&lt;'UAV V(x)'!$C7,0,IF('Aerial Platform'!P11&gt;'UAV V(x)'!$D7,1,'UAV V(x)'!$R7*('Aerial Platform'!P11)^4+'UAV V(x)'!$S7*('Aerial Platform'!P11)^3+'UAV V(x)'!$T7*('Aerial Platform'!P11)^2+'UAV V(x)'!$U7*('Aerial Platform'!P11)+'UAV V(x)'!$V7))</f>
        <v>1</v>
      </c>
      <c r="R7">
        <f>IF('Aerial Platform'!Q11&lt;'UAV V(x)'!$C7,0,IF('Aerial Platform'!Q11&gt;'UAV V(x)'!$D7,1,'UAV V(x)'!$R7*('Aerial Platform'!Q11)^4+'UAV V(x)'!$S7*('Aerial Platform'!Q11)^3+'UAV V(x)'!$T7*('Aerial Platform'!Q11)^2+'UAV V(x)'!$U7*('Aerial Platform'!Q11)+'UAV V(x)'!$V7))</f>
        <v>0.40890928700000001</v>
      </c>
      <c r="S7">
        <f>IF('Aerial Platform'!R11&lt;'UAV V(x)'!$C7,0,IF('Aerial Platform'!R11&gt;'UAV V(x)'!$D7,1,'UAV V(x)'!$R7*('Aerial Platform'!R11)^4+'UAV V(x)'!$S7*('Aerial Platform'!R11)^3+'UAV V(x)'!$T7*('Aerial Platform'!R11)^2+'UAV V(x)'!$U7*('Aerial Platform'!R11)+'UAV V(x)'!$V7))</f>
        <v>0.18058815228799999</v>
      </c>
      <c r="T7">
        <f>IF('Aerial Platform'!S11&lt;'UAV V(x)'!$C7,0,IF('Aerial Platform'!S11&gt;'UAV V(x)'!$D7,1,'UAV V(x)'!$R7*('Aerial Platform'!S11)^4+'UAV V(x)'!$S7*('Aerial Platform'!S11)^3+'UAV V(x)'!$T7*('Aerial Platform'!S11)^2+'UAV V(x)'!$U7*('Aerial Platform'!S11)+'UAV V(x)'!$V7))</f>
        <v>1</v>
      </c>
      <c r="U7">
        <f>IF('Aerial Platform'!T11&lt;'UAV V(x)'!$C7,0,IF('Aerial Platform'!T11&gt;'UAV V(x)'!$D7,1,'UAV V(x)'!$R7*('Aerial Platform'!T11)^4+'UAV V(x)'!$S7*('Aerial Platform'!T11)^3+'UAV V(x)'!$T7*('Aerial Platform'!T11)^2+'UAV V(x)'!$U7*('Aerial Platform'!T11)+'UAV V(x)'!$V7))</f>
        <v>1</v>
      </c>
      <c r="V7">
        <f>IF('Aerial Platform'!U11&lt;'UAV V(x)'!$C7,0,IF('Aerial Platform'!U11&gt;'UAV V(x)'!$D7,1,'UAV V(x)'!$R7*('Aerial Platform'!U11)^4+'UAV V(x)'!$S7*('Aerial Platform'!U11)^3+'UAV V(x)'!$T7*('Aerial Platform'!U11)^2+'UAV V(x)'!$U7*('Aerial Platform'!U11)+'UAV V(x)'!$V7))</f>
        <v>0.93908487698300025</v>
      </c>
      <c r="W7">
        <f>IF('Aerial Platform'!V11&lt;'UAV V(x)'!$C7,0,IF('Aerial Platform'!V11&gt;'UAV V(x)'!$D7,1,'UAV V(x)'!$R7*('Aerial Platform'!V11)^4+'UAV V(x)'!$S7*('Aerial Platform'!V11)^3+'UAV V(x)'!$T7*('Aerial Platform'!V11)^2+'UAV V(x)'!$U7*('Aerial Platform'!V11)+'UAV V(x)'!$V7))</f>
        <v>4.6568591670023377E-2</v>
      </c>
      <c r="X7">
        <f>IF('Aerial Platform'!W11&lt;'UAV V(x)'!$C7,0,IF('Aerial Platform'!W11&gt;'UAV V(x)'!$D7,1,'UAV V(x)'!$R7*('Aerial Platform'!W11)^4+'UAV V(x)'!$S7*('Aerial Platform'!W11)^3+'UAV V(x)'!$T7*('Aerial Platform'!W11)^2+'UAV V(x)'!$U7*('Aerial Platform'!W11)+'UAV V(x)'!$V7))</f>
        <v>1.0051021639709E-2</v>
      </c>
      <c r="Y7">
        <f>IF('Aerial Platform'!X11&lt;'UAV V(x)'!$C7,0,IF('Aerial Platform'!X11&gt;'UAV V(x)'!$D7,1,'UAV V(x)'!$R7*('Aerial Platform'!X11)^4+'UAV V(x)'!$S7*('Aerial Platform'!X11)^3+'UAV V(x)'!$T7*('Aerial Platform'!X11)^2+'UAV V(x)'!$U7*('Aerial Platform'!X11)+'UAV V(x)'!$V7))</f>
        <v>0.829503989</v>
      </c>
    </row>
    <row r="8" spans="1:25" x14ac:dyDescent="0.3">
      <c r="A8" t="s">
        <v>78</v>
      </c>
      <c r="B8">
        <f>'UAV V(x)'!B8</f>
        <v>0.2</v>
      </c>
      <c r="C8">
        <f>IF('Aerial Platform'!B12&lt;'UAV V(x)'!$C8,0,IF('Aerial Platform'!B12&gt;'UAV V(x)'!$D8,1,'UAV V(x)'!$P8*('Aerial Platform'!B12)^6+'UAV V(x)'!$Q8*('Aerial Platform'!B12)^5+'UAV V(x)'!$R8*('Aerial Platform'!B12)^4+'UAV V(x)'!$S8*('Aerial Platform'!B12)^3+'UAV V(x)'!$T8*('Aerial Platform'!B12)^2+'UAV V(x)'!$U8*('Aerial Platform'!B12)+'UAV V(x)'!$V8))</f>
        <v>0.5345252767744002</v>
      </c>
      <c r="D8">
        <f>IF('Aerial Platform'!C12&lt;'UAV V(x)'!$C8,0,IF('Aerial Platform'!C12&gt;'UAV V(x)'!$D8,1,'UAV V(x)'!$P8*('Aerial Platform'!C12)^6+'UAV V(x)'!$Q8*('Aerial Platform'!C12)^5+'UAV V(x)'!$R8*('Aerial Platform'!C12)^4+'UAV V(x)'!$S8*('Aerial Platform'!C12)^3+'UAV V(x)'!$T8*('Aerial Platform'!C12)^2+'UAV V(x)'!$U8*('Aerial Platform'!C12)+'UAV V(x)'!$V8))</f>
        <v>0.3946851025146485</v>
      </c>
      <c r="E8">
        <f>IF('Aerial Platform'!D12&lt;'UAV V(x)'!$C8,0,IF('Aerial Platform'!D12&gt;'UAV V(x)'!$D8,1,'UAV V(x)'!$P8*('Aerial Platform'!D12)^6+'UAV V(x)'!$Q8*('Aerial Platform'!D12)^5+'UAV V(x)'!$R8*('Aerial Platform'!D12)^4+'UAV V(x)'!$S8*('Aerial Platform'!D12)^3+'UAV V(x)'!$T8*('Aerial Platform'!D12)^2+'UAV V(x)'!$U8*('Aerial Platform'!D12)+'UAV V(x)'!$V8))</f>
        <v>0.46712958777803415</v>
      </c>
      <c r="F8">
        <f>IF('Aerial Platform'!E12&lt;'UAV V(x)'!$C8,0,IF('Aerial Platform'!E12&gt;'UAV V(x)'!$D8,1,'UAV V(x)'!$P8*('Aerial Platform'!E12)^6+'UAV V(x)'!$Q8*('Aerial Platform'!E12)^5+'UAV V(x)'!$R8*('Aerial Platform'!E12)^4+'UAV V(x)'!$S8*('Aerial Platform'!E12)^3+'UAV V(x)'!$T8*('Aerial Platform'!E12)^2+'UAV V(x)'!$U8*('Aerial Platform'!E12)+'UAV V(x)'!$V8))</f>
        <v>0.46712958777803415</v>
      </c>
      <c r="G8">
        <f>IF('Aerial Platform'!F12&lt;'UAV V(x)'!$C8,0,IF('Aerial Platform'!F12&gt;'UAV V(x)'!$D8,1,'UAV V(x)'!$P8*('Aerial Platform'!F12)^6+'UAV V(x)'!$Q8*('Aerial Platform'!F12)^5+'UAV V(x)'!$R8*('Aerial Platform'!F12)^4+'UAV V(x)'!$S8*('Aerial Platform'!F12)^3+'UAV V(x)'!$T8*('Aerial Platform'!F12)^2+'UAV V(x)'!$U8*('Aerial Platform'!F12)+'UAV V(x)'!$V8))</f>
        <v>0.38318734365736301</v>
      </c>
      <c r="H8">
        <f>IF('Aerial Platform'!G12&lt;'UAV V(x)'!$C8,0,IF('Aerial Platform'!G12&gt;'UAV V(x)'!$D8,1,'UAV V(x)'!$P8*('Aerial Platform'!G12)^6+'UAV V(x)'!$Q8*('Aerial Platform'!G12)^5+'UAV V(x)'!$R8*('Aerial Platform'!G12)^4+'UAV V(x)'!$S8*('Aerial Platform'!G12)^3+'UAV V(x)'!$T8*('Aerial Platform'!G12)^2+'UAV V(x)'!$U8*('Aerial Platform'!G12)+'UAV V(x)'!$V8))</f>
        <v>9.9096861992560958E-2</v>
      </c>
      <c r="I8">
        <f>IF('Aerial Platform'!H12&lt;'UAV V(x)'!$C8,0,IF('Aerial Platform'!H12&gt;'UAV V(x)'!$D8,1,'UAV V(x)'!$P8*('Aerial Platform'!H12)^6+'UAV V(x)'!$Q8*('Aerial Platform'!H12)^5+'UAV V(x)'!$R8*('Aerial Platform'!H12)^4+'UAV V(x)'!$S8*('Aerial Platform'!H12)^3+'UAV V(x)'!$T8*('Aerial Platform'!H12)^2+'UAV V(x)'!$U8*('Aerial Platform'!H12)+'UAV V(x)'!$V8))</f>
        <v>0.15319941468655454</v>
      </c>
      <c r="J8">
        <f>IF('Aerial Platform'!I12&lt;'UAV V(x)'!$C8,0,IF('Aerial Platform'!I12&gt;'UAV V(x)'!$D8,1,'UAV V(x)'!$P8*('Aerial Platform'!I12)^6+'UAV V(x)'!$Q8*('Aerial Platform'!I12)^5+'UAV V(x)'!$R8*('Aerial Platform'!I12)^4+'UAV V(x)'!$S8*('Aerial Platform'!I12)^3+'UAV V(x)'!$T8*('Aerial Platform'!I12)^2+'UAV V(x)'!$U8*('Aerial Platform'!I12)+'UAV V(x)'!$V8))</f>
        <v>0.41678925825047453</v>
      </c>
      <c r="K8">
        <f>IF('Aerial Platform'!J12&lt;'UAV V(x)'!$C8,0,IF('Aerial Platform'!J12&gt;'UAV V(x)'!$D8,1,'UAV V(x)'!$P8*('Aerial Platform'!J12)^6+'UAV V(x)'!$Q8*('Aerial Platform'!J12)^5+'UAV V(x)'!$R8*('Aerial Platform'!J12)^4+'UAV V(x)'!$S8*('Aerial Platform'!J12)^3+'UAV V(x)'!$T8*('Aerial Platform'!J12)^2+'UAV V(x)'!$U8*('Aerial Platform'!J12)+'UAV V(x)'!$V8))</f>
        <v>3.0947190137346134E-2</v>
      </c>
      <c r="L8">
        <f>IF('Aerial Platform'!K12&lt;'UAV V(x)'!$C8,0,IF('Aerial Platform'!K12&gt;'UAV V(x)'!$D8,1,'UAV V(x)'!$P8*('Aerial Platform'!K12)^6+'UAV V(x)'!$Q8*('Aerial Platform'!K12)^5+'UAV V(x)'!$R8*('Aerial Platform'!K12)^4+'UAV V(x)'!$S8*('Aerial Platform'!K12)^3+'UAV V(x)'!$T8*('Aerial Platform'!K12)^2+'UAV V(x)'!$U8*('Aerial Platform'!K12)+'UAV V(x)'!$V8))</f>
        <v>8.0191761245978224E-2</v>
      </c>
      <c r="M8">
        <f>IF('Aerial Platform'!L12&lt;'UAV V(x)'!$C8,0,IF('Aerial Platform'!L12&gt;'UAV V(x)'!$D8,1,'UAV V(x)'!$P8*('Aerial Platform'!L12)^6+'UAV V(x)'!$Q8*('Aerial Platform'!L12)^5+'UAV V(x)'!$R8*('Aerial Platform'!L12)^4+'UAV V(x)'!$S8*('Aerial Platform'!L12)^3+'UAV V(x)'!$T8*('Aerial Platform'!L12)^2+'UAV V(x)'!$U8*('Aerial Platform'!L12)+'UAV V(x)'!$V8))</f>
        <v>2.0750264471854244E-2</v>
      </c>
      <c r="N8">
        <f>IF('Aerial Platform'!M12&lt;'UAV V(x)'!$C8,0,IF('Aerial Platform'!M12&gt;'UAV V(x)'!$D8,1,'UAV V(x)'!$P8*('Aerial Platform'!M12)^6+'UAV V(x)'!$Q8*('Aerial Platform'!M12)^5+'UAV V(x)'!$R8*('Aerial Platform'!M12)^4+'UAV V(x)'!$S8*('Aerial Platform'!M12)^3+'UAV V(x)'!$T8*('Aerial Platform'!M12)^2+'UAV V(x)'!$U8*('Aerial Platform'!M12)+'UAV V(x)'!$V8))</f>
        <v>0.33407928088960004</v>
      </c>
      <c r="O8">
        <f>IF('Aerial Platform'!N12&lt;'UAV V(x)'!$C8,0,IF('Aerial Platform'!N12&gt;'UAV V(x)'!$D8,1,'UAV V(x)'!$P8*('Aerial Platform'!N12)^6+'UAV V(x)'!$Q8*('Aerial Platform'!N12)^5+'UAV V(x)'!$R8*('Aerial Platform'!N12)^4+'UAV V(x)'!$S8*('Aerial Platform'!N12)^3+'UAV V(x)'!$T8*('Aerial Platform'!N12)^2+'UAV V(x)'!$U8*('Aerial Platform'!N12)+'UAV V(x)'!$V8))</f>
        <v>0.18716923168390004</v>
      </c>
      <c r="P8">
        <f>IF('Aerial Platform'!O12&lt;'UAV V(x)'!$C8,0,IF('Aerial Platform'!O12&gt;'UAV V(x)'!$D8,1,'UAV V(x)'!$P8*('Aerial Platform'!O12)^6+'UAV V(x)'!$Q8*('Aerial Platform'!O12)^5+'UAV V(x)'!$R8*('Aerial Platform'!O12)^4+'UAV V(x)'!$S8*('Aerial Platform'!O12)^3+'UAV V(x)'!$T8*('Aerial Platform'!O12)^2+'UAV V(x)'!$U8*('Aerial Platform'!O12)+'UAV V(x)'!$V8))</f>
        <v>0.23512911168021031</v>
      </c>
      <c r="Q8">
        <f>IF('Aerial Platform'!P12&lt;'UAV V(x)'!$C8,0,IF('Aerial Platform'!P12&gt;'UAV V(x)'!$D8,1,'UAV V(x)'!$P8*('Aerial Platform'!P12)^6+'UAV V(x)'!$Q8*('Aerial Platform'!P12)^5+'UAV V(x)'!$R8*('Aerial Platform'!P12)^4+'UAV V(x)'!$S8*('Aerial Platform'!P12)^3+'UAV V(x)'!$T8*('Aerial Platform'!P12)^2+'UAV V(x)'!$U8*('Aerial Platform'!P12)+'UAV V(x)'!$V8))</f>
        <v>0.17038901283793967</v>
      </c>
      <c r="R8">
        <f>IF('Aerial Platform'!Q12&lt;'UAV V(x)'!$C8,0,IF('Aerial Platform'!Q12&gt;'UAV V(x)'!$D8,1,'UAV V(x)'!$P8*('Aerial Platform'!Q12)^6+'UAV V(x)'!$Q8*('Aerial Platform'!Q12)^5+'UAV V(x)'!$R8*('Aerial Platform'!Q12)^4+'UAV V(x)'!$S8*('Aerial Platform'!Q12)^3+'UAV V(x)'!$T8*('Aerial Platform'!Q12)^2+'UAV V(x)'!$U8*('Aerial Platform'!Q12)+'UAV V(x)'!$V8))</f>
        <v>1.5607448915552571E-2</v>
      </c>
      <c r="S8">
        <f>IF('Aerial Platform'!R12&lt;'UAV V(x)'!$C8,0,IF('Aerial Platform'!R12&gt;'UAV V(x)'!$D8,1,'UAV V(x)'!$P8*('Aerial Platform'!R12)^6+'UAV V(x)'!$Q8*('Aerial Platform'!R12)^5+'UAV V(x)'!$R8*('Aerial Platform'!R12)^4+'UAV V(x)'!$S8*('Aerial Platform'!R12)^3+'UAV V(x)'!$T8*('Aerial Platform'!R12)^2+'UAV V(x)'!$U8*('Aerial Platform'!R12)+'UAV V(x)'!$V8))</f>
        <v>1.2507490468157117E-2</v>
      </c>
      <c r="T8">
        <f>IF('Aerial Platform'!S12&lt;'UAV V(x)'!$C8,0,IF('Aerial Platform'!S12&gt;'UAV V(x)'!$D8,1,'UAV V(x)'!$P8*('Aerial Platform'!S12)^6+'UAV V(x)'!$Q8*('Aerial Platform'!S12)^5+'UAV V(x)'!$R8*('Aerial Platform'!S12)^4+'UAV V(x)'!$S8*('Aerial Platform'!S12)^3+'UAV V(x)'!$T8*('Aerial Platform'!S12)^2+'UAV V(x)'!$U8*('Aerial Platform'!S12)+'UAV V(x)'!$V8))</f>
        <v>0.38318734365736301</v>
      </c>
      <c r="U8">
        <f>IF('Aerial Platform'!T12&lt;'UAV V(x)'!$C8,0,IF('Aerial Platform'!T12&gt;'UAV V(x)'!$D8,1,'UAV V(x)'!$P8*('Aerial Platform'!T12)^6+'UAV V(x)'!$Q8*('Aerial Platform'!T12)^5+'UAV V(x)'!$R8*('Aerial Platform'!T12)^4+'UAV V(x)'!$S8*('Aerial Platform'!T12)^3+'UAV V(x)'!$T8*('Aerial Platform'!T12)^2+'UAV V(x)'!$U8*('Aerial Platform'!T12)+'UAV V(x)'!$V8))</f>
        <v>7.0571392154832768E-2</v>
      </c>
      <c r="V8">
        <f>IF('Aerial Platform'!U12&lt;'UAV V(x)'!$C8,0,IF('Aerial Platform'!U12&gt;'UAV V(x)'!$D8,1,'UAV V(x)'!$P8*('Aerial Platform'!U12)^6+'UAV V(x)'!$Q8*('Aerial Platform'!U12)^5+'UAV V(x)'!$R8*('Aerial Platform'!U12)^4+'UAV V(x)'!$S8*('Aerial Platform'!U12)^3+'UAV V(x)'!$T8*('Aerial Platform'!U12)^2+'UAV V(x)'!$U8*('Aerial Platform'!U12)+'UAV V(x)'!$V8))</f>
        <v>1</v>
      </c>
      <c r="W8">
        <f>IF('Aerial Platform'!V12&lt;'UAV V(x)'!$C8,0,IF('Aerial Platform'!V12&gt;'UAV V(x)'!$D8,1,'UAV V(x)'!$P8*('Aerial Platform'!V12)^6+'UAV V(x)'!$Q8*('Aerial Platform'!V12)^5+'UAV V(x)'!$R8*('Aerial Platform'!V12)^4+'UAV V(x)'!$S8*('Aerial Platform'!V12)^3+'UAV V(x)'!$T8*('Aerial Platform'!V12)^2+'UAV V(x)'!$U8*('Aerial Platform'!V12)+'UAV V(x)'!$V8))</f>
        <v>1</v>
      </c>
      <c r="X8">
        <f>IF('Aerial Platform'!W12&lt;'UAV V(x)'!$C8,0,IF('Aerial Platform'!W12&gt;'UAV V(x)'!$D8,1,'UAV V(x)'!$P8*('Aerial Platform'!W12)^6+'UAV V(x)'!$Q8*('Aerial Platform'!W12)^5+'UAV V(x)'!$R8*('Aerial Platform'!W12)^4+'UAV V(x)'!$S8*('Aerial Platform'!W12)^3+'UAV V(x)'!$T8*('Aerial Platform'!W12)^2+'UAV V(x)'!$U8*('Aerial Platform'!W12)+'UAV V(x)'!$V8))</f>
        <v>1</v>
      </c>
      <c r="Y8">
        <f>IF('Aerial Platform'!X12&lt;'UAV V(x)'!$C8,0,IF('Aerial Platform'!X12&gt;'UAV V(x)'!$D8,1,'UAV V(x)'!$P8*('Aerial Platform'!X12)^6+'UAV V(x)'!$Q8*('Aerial Platform'!X12)^5+'UAV V(x)'!$R8*('Aerial Platform'!X12)^4+'UAV V(x)'!$S8*('Aerial Platform'!X12)^3+'UAV V(x)'!$T8*('Aerial Platform'!X12)^2+'UAV V(x)'!$U8*('Aerial Platform'!X12)+'UAV V(x)'!$V8))</f>
        <v>0.89361118286292651</v>
      </c>
    </row>
    <row r="9" spans="1:25" x14ac:dyDescent="0.3">
      <c r="A9" t="s">
        <v>79</v>
      </c>
      <c r="B9">
        <f>'UAV V(x)'!B9</f>
        <v>0.1</v>
      </c>
      <c r="C9">
        <f>IF('Aerial Platform'!B13&lt;='UAV V(x)'!$C9,0,IF('Aerial Platform'!B13&gt;'UAV V(x)'!$D9,1,'UAV V(x)'!$P9*('Aerial Platform'!B13)^6+'UAV V(x)'!$Q9*('Aerial Platform'!B13)^5+'UAV V(x)'!$R9*('Aerial Platform'!B13)^4+'UAV V(x)'!$S9*('Aerial Platform'!B13)^3+'UAV V(x)'!$T9*('Aerial Platform'!B13)^2+'UAV V(x)'!$U9*('Aerial Platform'!B13)+'UAV V(x)'!$V9))</f>
        <v>1</v>
      </c>
      <c r="D9">
        <f>IF('Aerial Platform'!C13&lt;='UAV V(x)'!$C9,0,IF('Aerial Platform'!C13&gt;'UAV V(x)'!$D9,1,'UAV V(x)'!$P9*('Aerial Platform'!C13)^6+'UAV V(x)'!$Q9*('Aerial Platform'!C13)^5+'UAV V(x)'!$R9*('Aerial Platform'!C13)^4+'UAV V(x)'!$S9*('Aerial Platform'!C13)^3+'UAV V(x)'!$T9*('Aerial Platform'!C13)^2+'UAV V(x)'!$U9*('Aerial Platform'!C13)+'UAV V(x)'!$V9))</f>
        <v>1</v>
      </c>
      <c r="E9">
        <f>IF('Aerial Platform'!D13&lt;='UAV V(x)'!$C9,0,IF('Aerial Platform'!D13&gt;'UAV V(x)'!$D9,1,'UAV V(x)'!$P9*('Aerial Platform'!D13)^6+'UAV V(x)'!$Q9*('Aerial Platform'!D13)^5+'UAV V(x)'!$R9*('Aerial Platform'!D13)^4+'UAV V(x)'!$S9*('Aerial Platform'!D13)^3+'UAV V(x)'!$T9*('Aerial Platform'!D13)^2+'UAV V(x)'!$U9*('Aerial Platform'!D13)+'UAV V(x)'!$V9))</f>
        <v>1</v>
      </c>
      <c r="F9">
        <f>IF('Aerial Platform'!E13&lt;='UAV V(x)'!$C9,0,IF('Aerial Platform'!E13&gt;'UAV V(x)'!$D9,1,'UAV V(x)'!$P9*('Aerial Platform'!E13)^6+'UAV V(x)'!$Q9*('Aerial Platform'!E13)^5+'UAV V(x)'!$R9*('Aerial Platform'!E13)^4+'UAV V(x)'!$S9*('Aerial Platform'!E13)^3+'UAV V(x)'!$T9*('Aerial Platform'!E13)^2+'UAV V(x)'!$U9*('Aerial Platform'!E13)+'UAV V(x)'!$V9))</f>
        <v>1</v>
      </c>
      <c r="G9">
        <f>IF('Aerial Platform'!F13&lt;='UAV V(x)'!$C9,0,IF('Aerial Platform'!F13&gt;'UAV V(x)'!$D9,1,'UAV V(x)'!$P9*('Aerial Platform'!F13)^6+'UAV V(x)'!$Q9*('Aerial Platform'!F13)^5+'UAV V(x)'!$R9*('Aerial Platform'!F13)^4+'UAV V(x)'!$S9*('Aerial Platform'!F13)^3+'UAV V(x)'!$T9*('Aerial Platform'!F13)^2+'UAV V(x)'!$U9*('Aerial Platform'!F13)+'UAV V(x)'!$V9))</f>
        <v>1</v>
      </c>
      <c r="H9">
        <f>IF('Aerial Platform'!G13&lt;='UAV V(x)'!$C9,0,IF('Aerial Platform'!G13&gt;'UAV V(x)'!$D9,1,'UAV V(x)'!$P9*('Aerial Platform'!G13)^6+'UAV V(x)'!$Q9*('Aerial Platform'!G13)^5+'UAV V(x)'!$R9*('Aerial Platform'!G13)^4+'UAV V(x)'!$S9*('Aerial Platform'!G13)^3+'UAV V(x)'!$T9*('Aerial Platform'!G13)^2+'UAV V(x)'!$U9*('Aerial Platform'!G13)+'UAV V(x)'!$V9))</f>
        <v>0.59</v>
      </c>
      <c r="I9">
        <f>IF('Aerial Platform'!H13&lt;='UAV V(x)'!$C9,0,IF('Aerial Platform'!H13&gt;'UAV V(x)'!$D9,1,'UAV V(x)'!$P9*('Aerial Platform'!H13)^6+'UAV V(x)'!$Q9*('Aerial Platform'!H13)^5+'UAV V(x)'!$R9*('Aerial Platform'!H13)^4+'UAV V(x)'!$S9*('Aerial Platform'!H13)^3+'UAV V(x)'!$T9*('Aerial Platform'!H13)^2+'UAV V(x)'!$U9*('Aerial Platform'!H13)+'UAV V(x)'!$V9))</f>
        <v>1</v>
      </c>
      <c r="J9">
        <f>IF('Aerial Platform'!I13&lt;='UAV V(x)'!$C9,0,IF('Aerial Platform'!I13&gt;'UAV V(x)'!$D9,1,'UAV V(x)'!$P9*('Aerial Platform'!I13)^6+'UAV V(x)'!$Q9*('Aerial Platform'!I13)^5+'UAV V(x)'!$R9*('Aerial Platform'!I13)^4+'UAV V(x)'!$S9*('Aerial Platform'!I13)^3+'UAV V(x)'!$T9*('Aerial Platform'!I13)^2+'UAV V(x)'!$U9*('Aerial Platform'!I13)+'UAV V(x)'!$V9))</f>
        <v>1</v>
      </c>
      <c r="K9">
        <f>IF('Aerial Platform'!J13&lt;='UAV V(x)'!$C9,0,IF('Aerial Platform'!J13&gt;'UAV V(x)'!$D9,1,'UAV V(x)'!$P9*('Aerial Platform'!J13)^6+'UAV V(x)'!$Q9*('Aerial Platform'!J13)^5+'UAV V(x)'!$R9*('Aerial Platform'!J13)^4+'UAV V(x)'!$S9*('Aerial Platform'!J13)^3+'UAV V(x)'!$T9*('Aerial Platform'!J13)^2+'UAV V(x)'!$U9*('Aerial Platform'!J13)+'UAV V(x)'!$V9))</f>
        <v>5.4000000000000006E-2</v>
      </c>
      <c r="L9">
        <f>IF('Aerial Platform'!K13&lt;='UAV V(x)'!$C9,0,IF('Aerial Platform'!K13&gt;'UAV V(x)'!$D9,1,'UAV V(x)'!$P9*('Aerial Platform'!K13)^6+'UAV V(x)'!$Q9*('Aerial Platform'!K13)^5+'UAV V(x)'!$R9*('Aerial Platform'!K13)^4+'UAV V(x)'!$S9*('Aerial Platform'!K13)^3+'UAV V(x)'!$T9*('Aerial Platform'!K13)^2+'UAV V(x)'!$U9*('Aerial Platform'!K13)+'UAV V(x)'!$V9))</f>
        <v>0.4</v>
      </c>
      <c r="M9">
        <f>IF('Aerial Platform'!L13&lt;='UAV V(x)'!$C9,0,IF('Aerial Platform'!L13&gt;'UAV V(x)'!$D9,1,'UAV V(x)'!$P9*('Aerial Platform'!L13)^6+'UAV V(x)'!$Q9*('Aerial Platform'!L13)^5+'UAV V(x)'!$R9*('Aerial Platform'!L13)^4+'UAV V(x)'!$S9*('Aerial Platform'!L13)^3+'UAV V(x)'!$T9*('Aerial Platform'!L13)^2+'UAV V(x)'!$U9*('Aerial Platform'!L13)+'UAV V(x)'!$V9))</f>
        <v>0.06</v>
      </c>
      <c r="N9">
        <f>IF('Aerial Platform'!M13&lt;='UAV V(x)'!$C9,0,IF('Aerial Platform'!M13&gt;'UAV V(x)'!$D9,1,'UAV V(x)'!$P9*('Aerial Platform'!M13)^6+'UAV V(x)'!$Q9*('Aerial Platform'!M13)^5+'UAV V(x)'!$R9*('Aerial Platform'!M13)^4+'UAV V(x)'!$S9*('Aerial Platform'!M13)^3+'UAV V(x)'!$T9*('Aerial Platform'!M13)^2+'UAV V(x)'!$U9*('Aerial Platform'!M13)+'UAV V(x)'!$V9))</f>
        <v>1</v>
      </c>
      <c r="O9">
        <f>IF('Aerial Platform'!N13&lt;='UAV V(x)'!$C9,0,IF('Aerial Platform'!N13&gt;'UAV V(x)'!$D9,1,'UAV V(x)'!$P9*('Aerial Platform'!N13)^6+'UAV V(x)'!$Q9*('Aerial Platform'!N13)^5+'UAV V(x)'!$R9*('Aerial Platform'!N13)^4+'UAV V(x)'!$S9*('Aerial Platform'!N13)^3+'UAV V(x)'!$T9*('Aerial Platform'!N13)^2+'UAV V(x)'!$U9*('Aerial Platform'!N13)+'UAV V(x)'!$V9))</f>
        <v>0</v>
      </c>
      <c r="P9">
        <f>IF('Aerial Platform'!O13&lt;='UAV V(x)'!$C9,0,IF('Aerial Platform'!O13&gt;'UAV V(x)'!$D9,1,'UAV V(x)'!$P9*('Aerial Platform'!O13)^6+'UAV V(x)'!$Q9*('Aerial Platform'!O13)^5+'UAV V(x)'!$R9*('Aerial Platform'!O13)^4+'UAV V(x)'!$S9*('Aerial Platform'!O13)^3+'UAV V(x)'!$T9*('Aerial Platform'!O13)^2+'UAV V(x)'!$U9*('Aerial Platform'!O13)+'UAV V(x)'!$V9))</f>
        <v>0.55000000000000004</v>
      </c>
      <c r="Q9">
        <f>IF('Aerial Platform'!P13&lt;='UAV V(x)'!$C9,0,IF('Aerial Platform'!P13&gt;'UAV V(x)'!$D9,1,'UAV V(x)'!$P9*('Aerial Platform'!P13)^6+'UAV V(x)'!$Q9*('Aerial Platform'!P13)^5+'UAV V(x)'!$R9*('Aerial Platform'!P13)^4+'UAV V(x)'!$S9*('Aerial Platform'!P13)^3+'UAV V(x)'!$T9*('Aerial Platform'!P13)^2+'UAV V(x)'!$U9*('Aerial Platform'!P13)+'UAV V(x)'!$V9))</f>
        <v>1</v>
      </c>
      <c r="R9">
        <f>IF('Aerial Platform'!Q13&lt;='UAV V(x)'!$C9,0,IF('Aerial Platform'!Q13&gt;'UAV V(x)'!$D9,1,'UAV V(x)'!$P9*('Aerial Platform'!Q13)^6+'UAV V(x)'!$Q9*('Aerial Platform'!Q13)^5+'UAV V(x)'!$R9*('Aerial Platform'!Q13)^4+'UAV V(x)'!$S9*('Aerial Platform'!Q13)^3+'UAV V(x)'!$T9*('Aerial Platform'!Q13)^2+'UAV V(x)'!$U9*('Aerial Platform'!Q13)+'UAV V(x)'!$V9))</f>
        <v>2.7000000000000003E-2</v>
      </c>
      <c r="S9">
        <f>IF('Aerial Platform'!R13&lt;='UAV V(x)'!$C9,0,IF('Aerial Platform'!R13&gt;'UAV V(x)'!$D9,1,'UAV V(x)'!$P9*('Aerial Platform'!R13)^6+'UAV V(x)'!$Q9*('Aerial Platform'!R13)^5+'UAV V(x)'!$R9*('Aerial Platform'!R13)^4+'UAV V(x)'!$S9*('Aerial Platform'!R13)^3+'UAV V(x)'!$T9*('Aerial Platform'!R13)^2+'UAV V(x)'!$U9*('Aerial Platform'!R13)+'UAV V(x)'!$V9))</f>
        <v>0.03</v>
      </c>
      <c r="T9">
        <f>IF('Aerial Platform'!S13&lt;='UAV V(x)'!$C9,0,IF('Aerial Platform'!S13&gt;'UAV V(x)'!$D9,1,'UAV V(x)'!$P9*('Aerial Platform'!S13)^6+'UAV V(x)'!$Q9*('Aerial Platform'!S13)^5+'UAV V(x)'!$R9*('Aerial Platform'!S13)^4+'UAV V(x)'!$S9*('Aerial Platform'!S13)^3+'UAV V(x)'!$T9*('Aerial Platform'!S13)^2+'UAV V(x)'!$U9*('Aerial Platform'!S13)+'UAV V(x)'!$V9))</f>
        <v>0.55000000000000004</v>
      </c>
      <c r="U9">
        <f>IF('Aerial Platform'!T13&lt;='UAV V(x)'!$C9,0,IF('Aerial Platform'!T13&gt;'UAV V(x)'!$D9,1,'UAV V(x)'!$P9*('Aerial Platform'!T13)^6+'UAV V(x)'!$Q9*('Aerial Platform'!T13)^5+'UAV V(x)'!$R9*('Aerial Platform'!T13)^4+'UAV V(x)'!$S9*('Aerial Platform'!T13)^3+'UAV V(x)'!$T9*('Aerial Platform'!T13)^2+'UAV V(x)'!$U9*('Aerial Platform'!T13)+'UAV V(x)'!$V9))</f>
        <v>0.09</v>
      </c>
      <c r="V9">
        <f>IF('Aerial Platform'!U13&lt;='UAV V(x)'!$C9,0,IF('Aerial Platform'!U13&gt;'UAV V(x)'!$D9,1,'UAV V(x)'!$P9*('Aerial Platform'!U13)^6+'UAV V(x)'!$Q9*('Aerial Platform'!U13)^5+'UAV V(x)'!$R9*('Aerial Platform'!U13)^4+'UAV V(x)'!$S9*('Aerial Platform'!U13)^3+'UAV V(x)'!$T9*('Aerial Platform'!U13)^2+'UAV V(x)'!$U9*('Aerial Platform'!U13)+'UAV V(x)'!$V9))</f>
        <v>0</v>
      </c>
      <c r="W9">
        <f>IF('Aerial Platform'!V13&lt;='UAV V(x)'!$C9,0,IF('Aerial Platform'!V13&gt;'UAV V(x)'!$D9,1,'UAV V(x)'!$P9*('Aerial Platform'!V13)^6+'UAV V(x)'!$Q9*('Aerial Platform'!V13)^5+'UAV V(x)'!$R9*('Aerial Platform'!V13)^4+'UAV V(x)'!$S9*('Aerial Platform'!V13)^3+'UAV V(x)'!$T9*('Aerial Platform'!V13)^2+'UAV V(x)'!$U9*('Aerial Platform'!V13)+'UAV V(x)'!$V9))</f>
        <v>0</v>
      </c>
      <c r="X9">
        <f>IF('Aerial Platform'!W13&lt;='UAV V(x)'!$C9,0,IF('Aerial Platform'!W13&gt;'UAV V(x)'!$D9,1,'UAV V(x)'!$P9*('Aerial Platform'!W13)^6+'UAV V(x)'!$Q9*('Aerial Platform'!W13)^5+'UAV V(x)'!$R9*('Aerial Platform'!W13)^4+'UAV V(x)'!$S9*('Aerial Platform'!W13)^3+'UAV V(x)'!$T9*('Aerial Platform'!W13)^2+'UAV V(x)'!$U9*('Aerial Platform'!W13)+'UAV V(x)'!$V9))</f>
        <v>0</v>
      </c>
      <c r="Y9">
        <f>IF('Aerial Platform'!X13&lt;='UAV V(x)'!$C9,0,IF('Aerial Platform'!X13&gt;'UAV V(x)'!$D9,1,'UAV V(x)'!$P9*('Aerial Platform'!X13)^6+'UAV V(x)'!$Q9*('Aerial Platform'!X13)^5+'UAV V(x)'!$R9*('Aerial Platform'!X13)^4+'UAV V(x)'!$S9*('Aerial Platform'!X13)^3+'UAV V(x)'!$T9*('Aerial Platform'!X13)^2+'UAV V(x)'!$U9*('Aerial Platform'!X13)+'UAV V(x)'!$V9))</f>
        <v>0</v>
      </c>
    </row>
    <row r="10" spans="1:25" x14ac:dyDescent="0.3">
      <c r="A10" t="s">
        <v>80</v>
      </c>
      <c r="B10">
        <f>'UAV V(x)'!B10</f>
        <v>0.1</v>
      </c>
      <c r="C10">
        <f>IF('Aerial Platform'!B14&lt;'UAV V(x)'!$C10,0,IF('Aerial Platform'!B14&gt;'UAV V(x)'!$D10,1,'UAV V(x)'!$Q10*('Aerial Platform'!B14)^5+'UAV V(x)'!$R10*('Aerial Platform'!B14)^4+'UAV V(x)'!$S10*('Aerial Platform'!B14)^3+'UAV V(x)'!$T10*('Aerial Platform'!B14)^2+'UAV V(x)'!$U10*('Aerial Platform'!B14)+'UAV V(x)'!$V10))</f>
        <v>0.5</v>
      </c>
      <c r="D10">
        <f>IF('Aerial Platform'!C14&lt;'UAV V(x)'!$C10,0,IF('Aerial Platform'!C14&gt;'UAV V(x)'!$D10,1,'UAV V(x)'!$Q10*('Aerial Platform'!C14)^5+'UAV V(x)'!$R10*('Aerial Platform'!C14)^4+'UAV V(x)'!$S10*('Aerial Platform'!C14)^3+'UAV V(x)'!$T10*('Aerial Platform'!C14)^2+'UAV V(x)'!$U10*('Aerial Platform'!C14)+'UAV V(x)'!$V10))</f>
        <v>0.79374999999999996</v>
      </c>
      <c r="E10">
        <f>IF('Aerial Platform'!D14&lt;'UAV V(x)'!$C10,0,IF('Aerial Platform'!D14&gt;'UAV V(x)'!$D10,1,'UAV V(x)'!$Q10*('Aerial Platform'!D14)^5+'UAV V(x)'!$R10*('Aerial Platform'!D14)^4+'UAV V(x)'!$S10*('Aerial Platform'!D14)^3+'UAV V(x)'!$T10*('Aerial Platform'!D14)^2+'UAV V(x)'!$U10*('Aerial Platform'!D14)+'UAV V(x)'!$V10))</f>
        <v>1</v>
      </c>
      <c r="F10">
        <f>IF('Aerial Platform'!E14&lt;'UAV V(x)'!$C10,0,IF('Aerial Platform'!E14&gt;'UAV V(x)'!$D10,1,'UAV V(x)'!$Q10*('Aerial Platform'!E14)^5+'UAV V(x)'!$R10*('Aerial Platform'!E14)^4+'UAV V(x)'!$S10*('Aerial Platform'!E14)^3+'UAV V(x)'!$T10*('Aerial Platform'!E14)^2+'UAV V(x)'!$U10*('Aerial Platform'!E14)+'UAV V(x)'!$V10))</f>
        <v>1</v>
      </c>
      <c r="G10">
        <f>IF('Aerial Platform'!F14&lt;'UAV V(x)'!$C10,0,IF('Aerial Platform'!F14&gt;'UAV V(x)'!$D10,1,'UAV V(x)'!$Q10*('Aerial Platform'!F14)^5+'UAV V(x)'!$R10*('Aerial Platform'!F14)^4+'UAV V(x)'!$S10*('Aerial Platform'!F14)^3+'UAV V(x)'!$T10*('Aerial Platform'!F14)^2+'UAV V(x)'!$U10*('Aerial Platform'!F14)+'UAV V(x)'!$V10))</f>
        <v>1</v>
      </c>
      <c r="H10">
        <f>IF('Aerial Platform'!G14&lt;'UAV V(x)'!$C10,0,IF('Aerial Platform'!G14&gt;'UAV V(x)'!$D10,1,'UAV V(x)'!$Q10*('Aerial Platform'!G14)^5+'UAV V(x)'!$R10*('Aerial Platform'!G14)^4+'UAV V(x)'!$S10*('Aerial Platform'!G14)^3+'UAV V(x)'!$T10*('Aerial Platform'!G14)^2+'UAV V(x)'!$U10*('Aerial Platform'!G14)+'UAV V(x)'!$V10))</f>
        <v>0.4375</v>
      </c>
      <c r="I10">
        <f>IF('Aerial Platform'!H14&lt;'UAV V(x)'!$C10,0,IF('Aerial Platform'!H14&gt;'UAV V(x)'!$D10,1,'UAV V(x)'!$Q10*('Aerial Platform'!H14)^5+'UAV V(x)'!$R10*('Aerial Platform'!H14)^4+'UAV V(x)'!$S10*('Aerial Platform'!H14)^3+'UAV V(x)'!$T10*('Aerial Platform'!H14)^2+'UAV V(x)'!$U10*('Aerial Platform'!H14)+'UAV V(x)'!$V10))</f>
        <v>0.46875</v>
      </c>
      <c r="J10">
        <f>IF('Aerial Platform'!I14&lt;'UAV V(x)'!$C10,0,IF('Aerial Platform'!I14&gt;'UAV V(x)'!$D10,1,'UAV V(x)'!$Q10*('Aerial Platform'!I14)^5+'UAV V(x)'!$R10*('Aerial Platform'!I14)^4+'UAV V(x)'!$S10*('Aerial Platform'!I14)^3+'UAV V(x)'!$T10*('Aerial Platform'!I14)^2+'UAV V(x)'!$U10*('Aerial Platform'!I14)+'UAV V(x)'!$V10))</f>
        <v>1</v>
      </c>
      <c r="K10">
        <f>IF('Aerial Platform'!J14&lt;'UAV V(x)'!$C10,0,IF('Aerial Platform'!J14&gt;'UAV V(x)'!$D10,1,'UAV V(x)'!$Q10*('Aerial Platform'!J14)^5+'UAV V(x)'!$R10*('Aerial Platform'!J14)^4+'UAV V(x)'!$S10*('Aerial Platform'!J14)^3+'UAV V(x)'!$T10*('Aerial Platform'!J14)^2+'UAV V(x)'!$U10*('Aerial Platform'!J14)+'UAV V(x)'!$V10))</f>
        <v>2.5000000000000022E-2</v>
      </c>
      <c r="L10">
        <f>IF('Aerial Platform'!K14&lt;'UAV V(x)'!$C10,0,IF('Aerial Platform'!K14&gt;'UAV V(x)'!$D10,1,'UAV V(x)'!$Q10*('Aerial Platform'!K14)^5+'UAV V(x)'!$R10*('Aerial Platform'!K14)^4+'UAV V(x)'!$S10*('Aerial Platform'!K14)^3+'UAV V(x)'!$T10*('Aerial Platform'!K14)^2+'UAV V(x)'!$U10*('Aerial Platform'!K14)+'UAV V(x)'!$V10))</f>
        <v>0</v>
      </c>
      <c r="M10">
        <f>IF('Aerial Platform'!L14&lt;'UAV V(x)'!$C10,0,IF('Aerial Platform'!L14&gt;'UAV V(x)'!$D10,1,'UAV V(x)'!$Q10*('Aerial Platform'!L14)^5+'UAV V(x)'!$R10*('Aerial Platform'!L14)^4+'UAV V(x)'!$S10*('Aerial Platform'!L14)^3+'UAV V(x)'!$T10*('Aerial Platform'!L14)^2+'UAV V(x)'!$U10*('Aerial Platform'!L14)+'UAV V(x)'!$V10))</f>
        <v>0</v>
      </c>
      <c r="N10">
        <f>IF('Aerial Platform'!M14&lt;'UAV V(x)'!$C10,0,IF('Aerial Platform'!M14&gt;'UAV V(x)'!$D10,1,'UAV V(x)'!$Q10*('Aerial Platform'!M14)^5+'UAV V(x)'!$R10*('Aerial Platform'!M14)^4+'UAV V(x)'!$S10*('Aerial Platform'!M14)^3+'UAV V(x)'!$T10*('Aerial Platform'!M14)^2+'UAV V(x)'!$U10*('Aerial Platform'!M14)+'UAV V(x)'!$V10))</f>
        <v>0.78125</v>
      </c>
      <c r="O10">
        <f>IF('Aerial Platform'!N14&lt;'UAV V(x)'!$C10,0,IF('Aerial Platform'!N14&gt;'UAV V(x)'!$D10,1,'UAV V(x)'!$Q10*('Aerial Platform'!N14)^5+'UAV V(x)'!$R10*('Aerial Platform'!N14)^4+'UAV V(x)'!$S10*('Aerial Platform'!N14)^3+'UAV V(x)'!$T10*('Aerial Platform'!N14)^2+'UAV V(x)'!$U10*('Aerial Platform'!N14)+'UAV V(x)'!$V10))</f>
        <v>0.25</v>
      </c>
      <c r="P10">
        <f>IF('Aerial Platform'!O14&lt;'UAV V(x)'!$C10,0,IF('Aerial Platform'!O14&gt;'UAV V(x)'!$D10,1,'UAV V(x)'!$Q10*('Aerial Platform'!O14)^5+'UAV V(x)'!$R10*('Aerial Platform'!O14)^4+'UAV V(x)'!$S10*('Aerial Platform'!O14)^3+'UAV V(x)'!$T10*('Aerial Platform'!O14)^2+'UAV V(x)'!$U10*('Aerial Platform'!O14)+'UAV V(x)'!$V10))</f>
        <v>0.3125</v>
      </c>
      <c r="Q10">
        <f>IF('Aerial Platform'!P14&lt;'UAV V(x)'!$C10,0,IF('Aerial Platform'!P14&gt;'UAV V(x)'!$D10,1,'UAV V(x)'!$Q10*('Aerial Platform'!P14)^5+'UAV V(x)'!$R10*('Aerial Platform'!P14)^4+'UAV V(x)'!$S10*('Aerial Platform'!P14)^3+'UAV V(x)'!$T10*('Aerial Platform'!P14)^2+'UAV V(x)'!$U10*('Aerial Platform'!P14)+'UAV V(x)'!$V10))</f>
        <v>1</v>
      </c>
      <c r="R10">
        <f>IF('Aerial Platform'!Q14&lt;'UAV V(x)'!$C10,0,IF('Aerial Platform'!Q14&gt;'UAV V(x)'!$D10,1,'UAV V(x)'!$Q10*('Aerial Platform'!Q14)^5+'UAV V(x)'!$R10*('Aerial Platform'!Q14)^4+'UAV V(x)'!$S10*('Aerial Platform'!Q14)^3+'UAV V(x)'!$T10*('Aerial Platform'!Q14)^2+'UAV V(x)'!$U10*('Aerial Platform'!Q14)+'UAV V(x)'!$V10))</f>
        <v>0</v>
      </c>
      <c r="S10">
        <f>IF('Aerial Platform'!R14&lt;'UAV V(x)'!$C10,0,IF('Aerial Platform'!R14&gt;'UAV V(x)'!$D10,1,'UAV V(x)'!$Q10*('Aerial Platform'!R14)^5+'UAV V(x)'!$R10*('Aerial Platform'!R14)^4+'UAV V(x)'!$S10*('Aerial Platform'!R14)^3+'UAV V(x)'!$T10*('Aerial Platform'!R14)^2+'UAV V(x)'!$U10*('Aerial Platform'!R14)+'UAV V(x)'!$V10))</f>
        <v>0</v>
      </c>
      <c r="T10">
        <f>IF('Aerial Platform'!S14&lt;'UAV V(x)'!$C10,0,IF('Aerial Platform'!S14&gt;'UAV V(x)'!$D10,1,'UAV V(x)'!$Q10*('Aerial Platform'!S14)^5+'UAV V(x)'!$R10*('Aerial Platform'!S14)^4+'UAV V(x)'!$S10*('Aerial Platform'!S14)^3+'UAV V(x)'!$T10*('Aerial Platform'!S14)^2+'UAV V(x)'!$U10*('Aerial Platform'!S14)+'UAV V(x)'!$V10))</f>
        <v>0.25</v>
      </c>
      <c r="U10">
        <f>IF('Aerial Platform'!T14&lt;'UAV V(x)'!$C10,0,IF('Aerial Platform'!T14&gt;'UAV V(x)'!$D10,1,'UAV V(x)'!$Q10*('Aerial Platform'!T14)^5+'UAV V(x)'!$R10*('Aerial Platform'!T14)^4+'UAV V(x)'!$S10*('Aerial Platform'!T14)^3+'UAV V(x)'!$T10*('Aerial Platform'!T14)^2+'UAV V(x)'!$U10*('Aerial Platform'!T14)+'UAV V(x)'!$V10))</f>
        <v>3.125E-2</v>
      </c>
      <c r="V10">
        <f>IF('Aerial Platform'!U14&lt;'UAV V(x)'!$C10,0,IF('Aerial Platform'!U14&gt;'UAV V(x)'!$D10,1,'UAV V(x)'!$Q10*('Aerial Platform'!U14)^5+'UAV V(x)'!$R10*('Aerial Platform'!U14)^4+'UAV V(x)'!$S10*('Aerial Platform'!U14)^3+'UAV V(x)'!$T10*('Aerial Platform'!U14)^2+'UAV V(x)'!$U10*('Aerial Platform'!U14)+'UAV V(x)'!$V10))</f>
        <v>0</v>
      </c>
      <c r="W10">
        <f>IF('Aerial Platform'!V14&lt;'UAV V(x)'!$C10,0,IF('Aerial Platform'!V14&gt;'UAV V(x)'!$D10,1,'UAV V(x)'!$Q10*('Aerial Platform'!V14)^5+'UAV V(x)'!$R10*('Aerial Platform'!V14)^4+'UAV V(x)'!$S10*('Aerial Platform'!V14)^3+'UAV V(x)'!$T10*('Aerial Platform'!V14)^2+'UAV V(x)'!$U10*('Aerial Platform'!V14)+'UAV V(x)'!$V10))</f>
        <v>0</v>
      </c>
      <c r="X10">
        <f>IF('Aerial Platform'!W14&lt;'UAV V(x)'!$C10,0,IF('Aerial Platform'!W14&gt;'UAV V(x)'!$D10,1,'UAV V(x)'!$Q10*('Aerial Platform'!W14)^5+'UAV V(x)'!$R10*('Aerial Platform'!W14)^4+'UAV V(x)'!$S10*('Aerial Platform'!W14)^3+'UAV V(x)'!$T10*('Aerial Platform'!W14)^2+'UAV V(x)'!$U10*('Aerial Platform'!W14)+'UAV V(x)'!$V10))</f>
        <v>0</v>
      </c>
      <c r="Y10">
        <f>IF('Aerial Platform'!X14&lt;'UAV V(x)'!$C10,0,IF('Aerial Platform'!X14&gt;'UAV V(x)'!$D10,1,'UAV V(x)'!$Q10*('Aerial Platform'!X14)^5+'UAV V(x)'!$R10*('Aerial Platform'!X14)^4+'UAV V(x)'!$S10*('Aerial Platform'!X14)^3+'UAV V(x)'!$T10*('Aerial Platform'!X14)^2+'UAV V(x)'!$U10*('Aerial Platform'!X14)+'UAV V(x)'!$V10))</f>
        <v>0</v>
      </c>
    </row>
    <row r="11" spans="1:25" x14ac:dyDescent="0.3">
      <c r="A11" t="s">
        <v>98</v>
      </c>
      <c r="B11">
        <f>'UAV V(x)'!B11</f>
        <v>0</v>
      </c>
    </row>
    <row r="12" spans="1:25" x14ac:dyDescent="0.3">
      <c r="A12" t="s">
        <v>81</v>
      </c>
      <c r="B12">
        <f>'UAV V(x)'!B12</f>
        <v>0.1</v>
      </c>
      <c r="C12">
        <f>IF('Aerial Platform'!B26="-",0,IF('Aerial Platform'!B26&lt;'UAV V(x)'!$C12,0,IF('Aerial Platform'!B26&gt;'UAV V(x)'!$D12,1,'UAV V(x)'!$Q12*('Aerial Platform'!B26)^5+'UAV V(x)'!$R12*('Aerial Platform'!B26)^4+'UAV V(x)'!$S12*('Aerial Platform'!B26)^3+'UAV V(x)'!$T12*('Aerial Platform'!B26)^2+'UAV V(x)'!$U12*('Aerial Platform'!B26)+'UAV V(x)'!$V12)))</f>
        <v>1</v>
      </c>
      <c r="D12">
        <f>IF('Aerial Platform'!C26="-",0,IF('Aerial Platform'!C26&lt;'UAV V(x)'!$C12,0,IF('Aerial Platform'!C26&gt;'UAV V(x)'!$D12,1,'UAV V(x)'!$Q12*('Aerial Platform'!C26)^5+'UAV V(x)'!$R12*('Aerial Platform'!C26)^4+'UAV V(x)'!$S12*('Aerial Platform'!C26)^3+'UAV V(x)'!$T12*('Aerial Platform'!C26)^2+'UAV V(x)'!$U12*('Aerial Platform'!C26)+'UAV V(x)'!$V12)))</f>
        <v>0.5</v>
      </c>
      <c r="E12">
        <f>IF('Aerial Platform'!D26="-",0,IF('Aerial Platform'!D26&lt;'UAV V(x)'!$C12,0,IF('Aerial Platform'!D26&gt;'UAV V(x)'!$D12,1,'UAV V(x)'!$Q12*('Aerial Platform'!D26)^5+'UAV V(x)'!$R12*('Aerial Platform'!D26)^4+'UAV V(x)'!$S12*('Aerial Platform'!D26)^3+'UAV V(x)'!$T12*('Aerial Platform'!D26)^2+'UAV V(x)'!$U12*('Aerial Platform'!D26)+'UAV V(x)'!$V12)))</f>
        <v>1</v>
      </c>
      <c r="F12">
        <f>IF('Aerial Platform'!E26="-",0,IF('Aerial Platform'!E26&lt;'UAV V(x)'!$C12,0,IF('Aerial Platform'!E26&gt;'UAV V(x)'!$D12,1,'UAV V(x)'!$Q12*('Aerial Platform'!E26)^5+'UAV V(x)'!$R12*('Aerial Platform'!E26)^4+'UAV V(x)'!$S12*('Aerial Platform'!E26)^3+'UAV V(x)'!$T12*('Aerial Platform'!E26)^2+'UAV V(x)'!$U12*('Aerial Platform'!E26)+'UAV V(x)'!$V12)))</f>
        <v>1</v>
      </c>
      <c r="G12">
        <f>IF('Aerial Platform'!F26="-",0,IF('Aerial Platform'!F26&lt;'UAV V(x)'!$C12,0,IF('Aerial Platform'!F26&gt;'UAV V(x)'!$D12,1,'UAV V(x)'!$Q12*('Aerial Platform'!F26)^5+'UAV V(x)'!$R12*('Aerial Platform'!F26)^4+'UAV V(x)'!$S12*('Aerial Platform'!F26)^3+'UAV V(x)'!$T12*('Aerial Platform'!F26)^2+'UAV V(x)'!$U12*('Aerial Platform'!F26)+'UAV V(x)'!$V12)))</f>
        <v>0.19999999999999998</v>
      </c>
      <c r="H12">
        <f>IF('Aerial Platform'!G26="-",0,IF('Aerial Platform'!G26&lt;'UAV V(x)'!$C12,0,IF('Aerial Platform'!G26&gt;'UAV V(x)'!$D12,1,'UAV V(x)'!$Q12*('Aerial Platform'!G26)^5+'UAV V(x)'!$R12*('Aerial Platform'!G26)^4+'UAV V(x)'!$S12*('Aerial Platform'!G26)^3+'UAV V(x)'!$T12*('Aerial Platform'!G26)^2+'UAV V(x)'!$U12*('Aerial Platform'!G26)+'UAV V(x)'!$V12)))</f>
        <v>1</v>
      </c>
      <c r="I12">
        <f>IF('Aerial Platform'!H26="-",0,IF('Aerial Platform'!H26&lt;'UAV V(x)'!$C12,0,IF('Aerial Platform'!H26&gt;'UAV V(x)'!$D12,1,'UAV V(x)'!$Q12*('Aerial Platform'!H26)^5+'UAV V(x)'!$R12*('Aerial Platform'!H26)^4+'UAV V(x)'!$S12*('Aerial Platform'!H26)^3+'UAV V(x)'!$T12*('Aerial Platform'!H26)^2+'UAV V(x)'!$U12*('Aerial Platform'!H26)+'UAV V(x)'!$V12)))</f>
        <v>0.8</v>
      </c>
      <c r="J12">
        <f>IF('Aerial Platform'!I26="-",0,IF('Aerial Platform'!I26&lt;'UAV V(x)'!$C12,0,IF('Aerial Platform'!I26&gt;'UAV V(x)'!$D12,1,'UAV V(x)'!$Q12*('Aerial Platform'!I26)^5+'UAV V(x)'!$R12*('Aerial Platform'!I26)^4+'UAV V(x)'!$S12*('Aerial Platform'!I26)^3+'UAV V(x)'!$T12*('Aerial Platform'!I26)^2+'UAV V(x)'!$U12*('Aerial Platform'!I26)+'UAV V(x)'!$V12)))</f>
        <v>0.8</v>
      </c>
      <c r="K12">
        <f>IF('Aerial Platform'!J26="-",0,IF('Aerial Platform'!J26&lt;'UAV V(x)'!$C12,0,IF('Aerial Platform'!J26&gt;'UAV V(x)'!$D12,1,'UAV V(x)'!$Q12*('Aerial Platform'!J26)^5+'UAV V(x)'!$R12*('Aerial Platform'!J26)^4+'UAV V(x)'!$S12*('Aerial Platform'!J26)^3+'UAV V(x)'!$T12*('Aerial Platform'!J26)^2+'UAV V(x)'!$U12*('Aerial Platform'!J26)+'UAV V(x)'!$V12)))</f>
        <v>1</v>
      </c>
      <c r="L12">
        <f>IF('Aerial Platform'!K26="-",0,IF('Aerial Platform'!K26&lt;'UAV V(x)'!$C12,0,IF('Aerial Platform'!K26&gt;'UAV V(x)'!$D12,1,'UAV V(x)'!$Q12*('Aerial Platform'!K26)^5+'UAV V(x)'!$R12*('Aerial Platform'!K26)^4+'UAV V(x)'!$S12*('Aerial Platform'!K26)^3+'UAV V(x)'!$T12*('Aerial Platform'!K26)^2+'UAV V(x)'!$U12*('Aerial Platform'!K26)+'UAV V(x)'!$V12)))</f>
        <v>1</v>
      </c>
      <c r="M12">
        <f>IF('Aerial Platform'!L26="-",0,IF('Aerial Platform'!L26&lt;'UAV V(x)'!$C12,0,IF('Aerial Platform'!L26&gt;'UAV V(x)'!$D12,1,'UAV V(x)'!$Q12*('Aerial Platform'!L26)^5+'UAV V(x)'!$R12*('Aerial Platform'!L26)^4+'UAV V(x)'!$S12*('Aerial Platform'!L26)^3+'UAV V(x)'!$T12*('Aerial Platform'!L26)^2+'UAV V(x)'!$U12*('Aerial Platform'!L26)+'UAV V(x)'!$V12)))</f>
        <v>0.7</v>
      </c>
      <c r="N12">
        <f>IF('Aerial Platform'!M26="-",0,IF('Aerial Platform'!M26&lt;'UAV V(x)'!$C12,0,IF('Aerial Platform'!M26&gt;'UAV V(x)'!$D12,1,'UAV V(x)'!$Q12*('Aerial Platform'!M26)^5+'UAV V(x)'!$R12*('Aerial Platform'!M26)^4+'UAV V(x)'!$S12*('Aerial Platform'!M26)^3+'UAV V(x)'!$T12*('Aerial Platform'!M26)^2+'UAV V(x)'!$U12*('Aerial Platform'!M26)+'UAV V(x)'!$V12)))</f>
        <v>0</v>
      </c>
      <c r="O12">
        <f>IF('Aerial Platform'!N26="-",0,IF('Aerial Platform'!N26&lt;'UAV V(x)'!$C12,0,IF('Aerial Platform'!N26&gt;'UAV V(x)'!$D12,1,'UAV V(x)'!$Q12*('Aerial Platform'!N26)^5+'UAV V(x)'!$R12*('Aerial Platform'!N26)^4+'UAV V(x)'!$S12*('Aerial Platform'!N26)^3+'UAV V(x)'!$T12*('Aerial Platform'!N26)^2+'UAV V(x)'!$U12*('Aerial Platform'!N26)+'UAV V(x)'!$V12)))</f>
        <v>0.8</v>
      </c>
      <c r="P12">
        <f>IF('Aerial Platform'!O26="-",0,IF('Aerial Platform'!O26&lt;'UAV V(x)'!$C12,0,IF('Aerial Platform'!O26&gt;'UAV V(x)'!$D12,1,'UAV V(x)'!$Q12*('Aerial Platform'!O26)^5+'UAV V(x)'!$R12*('Aerial Platform'!O26)^4+'UAV V(x)'!$S12*('Aerial Platform'!O26)^3+'UAV V(x)'!$T12*('Aerial Platform'!O26)^2+'UAV V(x)'!$U12*('Aerial Platform'!O26)+'UAV V(x)'!$V12)))</f>
        <v>0.3</v>
      </c>
      <c r="Q12">
        <f>IF('Aerial Platform'!P26="-",0,IF('Aerial Platform'!P26&lt;'UAV V(x)'!$C12,0,IF('Aerial Platform'!P26&gt;'UAV V(x)'!$D12,1,'UAV V(x)'!$Q12*('Aerial Platform'!P26)^5+'UAV V(x)'!$R12*('Aerial Platform'!P26)^4+'UAV V(x)'!$S12*('Aerial Platform'!P26)^3+'UAV V(x)'!$T12*('Aerial Platform'!P26)^2+'UAV V(x)'!$U12*('Aerial Platform'!P26)+'UAV V(x)'!$V12)))</f>
        <v>0</v>
      </c>
      <c r="R12">
        <f>IF('Aerial Platform'!Q26="-",0,IF('Aerial Platform'!Q26&lt;'UAV V(x)'!$C12,0,IF('Aerial Platform'!Q26&gt;'UAV V(x)'!$D12,1,'UAV V(x)'!$Q12*('Aerial Platform'!Q26)^5+'UAV V(x)'!$R12*('Aerial Platform'!Q26)^4+'UAV V(x)'!$S12*('Aerial Platform'!Q26)^3+'UAV V(x)'!$T12*('Aerial Platform'!Q26)^2+'UAV V(x)'!$U12*('Aerial Platform'!Q26)+'UAV V(x)'!$V12)))</f>
        <v>1</v>
      </c>
      <c r="S12">
        <f>IF('Aerial Platform'!R26="-",0,IF('Aerial Platform'!R26&lt;'UAV V(x)'!$C12,0,IF('Aerial Platform'!R26&gt;'UAV V(x)'!$D12,1,'UAV V(x)'!$Q12*('Aerial Platform'!R26)^5+'UAV V(x)'!$R12*('Aerial Platform'!R26)^4+'UAV V(x)'!$S12*('Aerial Platform'!R26)^3+'UAV V(x)'!$T12*('Aerial Platform'!R26)^2+'UAV V(x)'!$U12*('Aerial Platform'!R26)+'UAV V(x)'!$V12)))</f>
        <v>0</v>
      </c>
      <c r="T12">
        <f>IF('Aerial Platform'!S26="-",0,IF('Aerial Platform'!S26&lt;'UAV V(x)'!$C12,0,IF('Aerial Platform'!S26&gt;'UAV V(x)'!$D12,1,'UAV V(x)'!$Q12*('Aerial Platform'!S26)^5+'UAV V(x)'!$R12*('Aerial Platform'!S26)^4+'UAV V(x)'!$S12*('Aerial Platform'!S26)^3+'UAV V(x)'!$T12*('Aerial Platform'!S26)^2+'UAV V(x)'!$U12*('Aerial Platform'!S26)+'UAV V(x)'!$V12)))</f>
        <v>1</v>
      </c>
      <c r="U12">
        <f>IF('Aerial Platform'!T26="-",0,IF('Aerial Platform'!T26&lt;'UAV V(x)'!$C12,0,IF('Aerial Platform'!T26&gt;'UAV V(x)'!$D12,1,'UAV V(x)'!$Q12*('Aerial Platform'!T26)^5+'UAV V(x)'!$R12*('Aerial Platform'!T26)^4+'UAV V(x)'!$S12*('Aerial Platform'!T26)^3+'UAV V(x)'!$T12*('Aerial Platform'!T26)^2+'UAV V(x)'!$U12*('Aerial Platform'!T26)+'UAV V(x)'!$V12)))</f>
        <v>0.90000000000000013</v>
      </c>
      <c r="V12">
        <f>IF('Aerial Platform'!U26="-",0,IF('Aerial Platform'!U26&lt;'UAV V(x)'!$C12,0,IF('Aerial Platform'!U26&gt;'UAV V(x)'!$D12,1,'UAV V(x)'!$Q12*('Aerial Platform'!U26)^5+'UAV V(x)'!$R12*('Aerial Platform'!U26)^4+'UAV V(x)'!$S12*('Aerial Platform'!U26)^3+'UAV V(x)'!$T12*('Aerial Platform'!U26)^2+'UAV V(x)'!$U12*('Aerial Platform'!U26)+'UAV V(x)'!$V12)))</f>
        <v>1</v>
      </c>
      <c r="W12">
        <f>IF('Aerial Platform'!V26="-",0,IF('Aerial Platform'!V26&lt;'UAV V(x)'!$C12,0,IF('Aerial Platform'!V26&gt;'UAV V(x)'!$D12,1,'UAV V(x)'!$Q12*('Aerial Platform'!V26)^5+'UAV V(x)'!$R12*('Aerial Platform'!V26)^4+'UAV V(x)'!$S12*('Aerial Platform'!V26)^3+'UAV V(x)'!$T12*('Aerial Platform'!V26)^2+'UAV V(x)'!$U12*('Aerial Platform'!V26)+'UAV V(x)'!$V12)))</f>
        <v>1</v>
      </c>
      <c r="X12">
        <f>IF('Aerial Platform'!W26="-",0,IF('Aerial Platform'!W26&lt;'UAV V(x)'!$C12,0,IF('Aerial Platform'!W26&gt;'UAV V(x)'!$D12,1,'UAV V(x)'!$Q12*('Aerial Platform'!W26)^5+'UAV V(x)'!$R12*('Aerial Platform'!W26)^4+'UAV V(x)'!$S12*('Aerial Platform'!W26)^3+'UAV V(x)'!$T12*('Aerial Platform'!W26)^2+'UAV V(x)'!$U12*('Aerial Platform'!W26)+'UAV V(x)'!$V12)))</f>
        <v>1</v>
      </c>
      <c r="Y12">
        <f>IF('Aerial Platform'!X26="-",0,IF('Aerial Platform'!X26&lt;'UAV V(x)'!$C12,0,IF('Aerial Platform'!X26&gt;'UAV V(x)'!$D12,1,'UAV V(x)'!$Q12*('Aerial Platform'!X26)^5+'UAV V(x)'!$R12*('Aerial Platform'!X26)^4+'UAV V(x)'!$S12*('Aerial Platform'!X26)^3+'UAV V(x)'!$T12*('Aerial Platform'!X26)^2+'UAV V(x)'!$U12*('Aerial Platform'!X26)+'UAV V(x)'!$V12)))</f>
        <v>0.7</v>
      </c>
    </row>
    <row r="13" spans="1:25" x14ac:dyDescent="0.3">
      <c r="A13" t="s">
        <v>82</v>
      </c>
      <c r="B13">
        <f>'UAV V(x)'!B13</f>
        <v>0</v>
      </c>
      <c r="C13" t="e">
        <f>VLOOKUP('Aerial Platform'!B30,'UAV V(x)'!$Z$12:$AA$15,2,FALSE)</f>
        <v>#N/A</v>
      </c>
      <c r="D13" t="e">
        <f>VLOOKUP('Aerial Platform'!C30,'UAV V(x)'!$Z$12:$AA$15,2,FALSE)</f>
        <v>#N/A</v>
      </c>
      <c r="E13" t="e">
        <f>VLOOKUP('Aerial Platform'!D30,'UAV V(x)'!$Z$12:$AA$15,2,FALSE)</f>
        <v>#N/A</v>
      </c>
      <c r="F13" t="e">
        <f>VLOOKUP('Aerial Platform'!E30,'UAV V(x)'!$Z$12:$AA$15,2,FALSE)</f>
        <v>#N/A</v>
      </c>
      <c r="G13" t="e">
        <f>VLOOKUP('Aerial Platform'!F30,'UAV V(x)'!$Z$12:$AA$15,2,FALSE)</f>
        <v>#N/A</v>
      </c>
      <c r="H13" t="e">
        <f>VLOOKUP('Aerial Platform'!G30,'UAV V(x)'!$Z$12:$AA$15,2,FALSE)</f>
        <v>#N/A</v>
      </c>
      <c r="I13" t="e">
        <f>VLOOKUP('Aerial Platform'!H30,'UAV V(x)'!$Z$12:$AA$15,2,FALSE)</f>
        <v>#N/A</v>
      </c>
      <c r="J13" t="e">
        <f>VLOOKUP('Aerial Platform'!I30,'UAV V(x)'!$Z$12:$AA$15,2,FALSE)</f>
        <v>#N/A</v>
      </c>
      <c r="K13" t="e">
        <f>VLOOKUP('Aerial Platform'!J30,'UAV V(x)'!$Z$12:$AA$15,2,FALSE)</f>
        <v>#N/A</v>
      </c>
      <c r="L13" t="e">
        <f>VLOOKUP('Aerial Platform'!K30,'UAV V(x)'!$Z$12:$AA$15,2,FALSE)</f>
        <v>#N/A</v>
      </c>
      <c r="M13" t="e">
        <f>VLOOKUP('Aerial Platform'!L30,'UAV V(x)'!$Z$12:$AA$15,2,FALSE)</f>
        <v>#N/A</v>
      </c>
      <c r="N13" t="e">
        <f>VLOOKUP('Aerial Platform'!M30,'UAV V(x)'!$Z$12:$AA$15,2,FALSE)</f>
        <v>#N/A</v>
      </c>
      <c r="O13" t="e">
        <f>VLOOKUP('Aerial Platform'!N30,'UAV V(x)'!$Z$12:$AA$15,2,FALSE)</f>
        <v>#N/A</v>
      </c>
      <c r="P13" t="e">
        <f>VLOOKUP('Aerial Platform'!O30,'UAV V(x)'!$Z$12:$AA$15,2,FALSE)</f>
        <v>#N/A</v>
      </c>
      <c r="Q13" t="e">
        <f>VLOOKUP('Aerial Platform'!P30,'UAV V(x)'!$Z$12:$AA$15,2,FALSE)</f>
        <v>#N/A</v>
      </c>
      <c r="R13" t="e">
        <f>VLOOKUP('Aerial Platform'!Q30,'UAV V(x)'!$Z$12:$AA$15,2,FALSE)</f>
        <v>#N/A</v>
      </c>
      <c r="S13" t="e">
        <f>VLOOKUP('Aerial Platform'!R30,'UAV V(x)'!$Z$12:$AA$15,2,FALSE)</f>
        <v>#N/A</v>
      </c>
      <c r="T13" t="e">
        <f>VLOOKUP('Aerial Platform'!S30,'UAV V(x)'!$Z$12:$AA$15,2,FALSE)</f>
        <v>#N/A</v>
      </c>
      <c r="U13" t="e">
        <f>VLOOKUP('Aerial Platform'!T30,'UAV V(x)'!$Z$12:$AA$15,2,FALSE)</f>
        <v>#N/A</v>
      </c>
      <c r="V13" t="e">
        <f>VLOOKUP('Aerial Platform'!U30,'UAV V(x)'!$Z$12:$AA$15,2,FALSE)</f>
        <v>#N/A</v>
      </c>
      <c r="W13" t="e">
        <f>VLOOKUP('Aerial Platform'!V30,'UAV V(x)'!$Z$12:$AA$15,2,FALSE)</f>
        <v>#N/A</v>
      </c>
      <c r="X13" t="e">
        <f>VLOOKUP('Aerial Platform'!W30,'UAV V(x)'!$Z$12:$AA$15,2,FALSE)</f>
        <v>#N/A</v>
      </c>
      <c r="Y13" t="e">
        <f>VLOOKUP('Aerial Platform'!X30,'UAV V(x)'!$Z$12:$AA$15,2,FALSE)</f>
        <v>#N/A</v>
      </c>
    </row>
    <row r="14" spans="1:25" x14ac:dyDescent="0.3">
      <c r="A14" t="s">
        <v>63</v>
      </c>
      <c r="B14">
        <f>'UAV V(x)'!B14</f>
        <v>0</v>
      </c>
    </row>
    <row r="15" spans="1:25" x14ac:dyDescent="0.3">
      <c r="A15" t="s">
        <v>83</v>
      </c>
      <c r="B15">
        <f>'UAV V(x)'!B15</f>
        <v>0</v>
      </c>
    </row>
    <row r="16" spans="1:25" x14ac:dyDescent="0.3">
      <c r="A16" t="s">
        <v>84</v>
      </c>
      <c r="B16">
        <f>'UAV V(x)'!B16</f>
        <v>0</v>
      </c>
    </row>
    <row r="17" spans="1:25" x14ac:dyDescent="0.3">
      <c r="A17" t="s">
        <v>85</v>
      </c>
      <c r="B17">
        <f>'UAV V(x)'!B17</f>
        <v>0</v>
      </c>
    </row>
    <row r="18" spans="1:25" x14ac:dyDescent="0.3">
      <c r="A18" t="s">
        <v>141</v>
      </c>
      <c r="C18" s="6">
        <f>[1]Sheet3!$F$9</f>
        <v>2.0190046678402069</v>
      </c>
      <c r="D18" s="6">
        <f>[1]Sheet3!$F$4</f>
        <v>4.8089363873716948</v>
      </c>
      <c r="E18" s="6">
        <f>[1]Sheet3!$F$7</f>
        <v>34.357959906292898</v>
      </c>
      <c r="F18" s="6">
        <f>[1]Sheet3!$F$7</f>
        <v>34.357959906292898</v>
      </c>
      <c r="G18" s="6">
        <f>[1]Sheet3!$F$6</f>
        <v>26.429602435675921</v>
      </c>
      <c r="H18" s="6">
        <f>[1]Sheet3!$F$12</f>
        <v>0.85606088618099418</v>
      </c>
      <c r="I18" s="6">
        <f>[1]Sheet3!$F$8</f>
        <v>3.3834230952380957</v>
      </c>
      <c r="J18" s="6">
        <f>[1]Sheet3!$F$5</f>
        <v>3.6373688371466542</v>
      </c>
      <c r="K18" s="6">
        <f>[1]Sheet3!$F$10</f>
        <v>1.496300212946621E-2</v>
      </c>
      <c r="L18" s="6">
        <f>[1]Sheet3!$F$13</f>
        <v>8.1808722813740617E-2</v>
      </c>
      <c r="M18" s="6">
        <f>[1]Sheet3!$F$15</f>
        <v>0.14842142332365665</v>
      </c>
      <c r="N18" s="6">
        <f>[1]Sheet3!$F$16</f>
        <v>2.6566246889867919</v>
      </c>
      <c r="P18" s="6">
        <f>[1]Sheet3!$F$17</f>
        <v>0.94010418616306357</v>
      </c>
      <c r="Q18" s="6">
        <f>[1]Sheet3!$F$14</f>
        <v>95.447859659285413</v>
      </c>
      <c r="R18" s="6">
        <f>[1]Sheet3!$F$11</f>
        <v>1.7456835817710577E-2</v>
      </c>
      <c r="T18" s="6">
        <f>[1]Sheet3!$F$11</f>
        <v>1.7456835817710577E-2</v>
      </c>
      <c r="V18" s="6">
        <f>[1]Sheet3!$F$20</f>
        <v>2.5453899682805297</v>
      </c>
      <c r="W18" s="6">
        <f>[1]Sheet3!$F$19</f>
        <v>9.568514795844546E-2</v>
      </c>
      <c r="X18" s="6">
        <f>[1]Sheet3!$F$18</f>
        <v>2.7141500472479669E-2</v>
      </c>
      <c r="Y18" s="6">
        <f>[1]Sheet3!$F$21</f>
        <v>0.11711345408399612</v>
      </c>
    </row>
  </sheetData>
  <conditionalFormatting sqref="C1:Y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Y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:W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:W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:Y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:Y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5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18"/>
  <sheetViews>
    <sheetView zoomScale="80" zoomScaleNormal="80" workbookViewId="0">
      <selection activeCell="Z4" sqref="Z4"/>
    </sheetView>
  </sheetViews>
  <sheetFormatPr defaultRowHeight="15" x14ac:dyDescent="0.25"/>
  <cols>
    <col min="1" max="1" width="18" bestFit="1" customWidth="1"/>
    <col min="2" max="2" width="7.5703125" bestFit="1" customWidth="1"/>
    <col min="3" max="4" width="7.5703125" customWidth="1"/>
    <col min="5" max="16" width="5.7109375" customWidth="1"/>
    <col min="17" max="17" width="8.5703125" bestFit="1" customWidth="1"/>
    <col min="18" max="18" width="8.28515625" bestFit="1" customWidth="1"/>
    <col min="19" max="20" width="7.85546875" bestFit="1" customWidth="1"/>
    <col min="21" max="22" width="7.85546875" customWidth="1"/>
    <col min="23" max="23" width="17" bestFit="1" customWidth="1"/>
    <col min="24" max="24" width="3.42578125" style="2" customWidth="1"/>
    <col min="25" max="25" width="2.7109375" customWidth="1"/>
  </cols>
  <sheetData>
    <row r="1" spans="1:27" ht="14.45" x14ac:dyDescent="0.3">
      <c r="A1" t="s">
        <v>75</v>
      </c>
      <c r="B1" t="s">
        <v>86</v>
      </c>
      <c r="C1" t="s">
        <v>110</v>
      </c>
      <c r="D1" t="s">
        <v>109</v>
      </c>
      <c r="F1" t="s">
        <v>89</v>
      </c>
      <c r="P1" t="s">
        <v>172</v>
      </c>
      <c r="Q1" t="s">
        <v>113</v>
      </c>
      <c r="R1" t="s">
        <v>104</v>
      </c>
      <c r="S1" t="s">
        <v>105</v>
      </c>
      <c r="T1" t="s">
        <v>106</v>
      </c>
      <c r="U1" t="s">
        <v>107</v>
      </c>
      <c r="V1" t="s">
        <v>108</v>
      </c>
      <c r="W1" t="s">
        <v>87</v>
      </c>
      <c r="Z1" t="s">
        <v>174</v>
      </c>
      <c r="AA1">
        <v>1</v>
      </c>
    </row>
    <row r="2" spans="1:27" ht="14.45" x14ac:dyDescent="0.3">
      <c r="A2" t="s">
        <v>181</v>
      </c>
      <c r="B2" t="s">
        <v>88</v>
      </c>
      <c r="E2" s="2">
        <v>0</v>
      </c>
      <c r="F2" s="2">
        <v>0.2</v>
      </c>
      <c r="G2" s="2">
        <v>0.4</v>
      </c>
      <c r="H2" s="2">
        <v>0.5</v>
      </c>
      <c r="I2" s="2">
        <v>0.6</v>
      </c>
      <c r="J2" s="2">
        <v>0.7</v>
      </c>
      <c r="K2" s="2">
        <v>0.8</v>
      </c>
      <c r="L2" s="2">
        <v>0.85</v>
      </c>
      <c r="M2" s="2">
        <v>0.9</v>
      </c>
      <c r="N2" s="2">
        <v>0.95</v>
      </c>
      <c r="O2" s="2">
        <v>1</v>
      </c>
      <c r="P2" s="1"/>
      <c r="Q2" s="1"/>
      <c r="R2" s="1"/>
      <c r="S2" s="1"/>
      <c r="T2" s="1"/>
      <c r="U2" s="1"/>
      <c r="V2" s="16"/>
      <c r="W2" s="7"/>
      <c r="X2" s="2">
        <v>0</v>
      </c>
      <c r="Z2" t="s">
        <v>178</v>
      </c>
      <c r="AA2">
        <v>1</v>
      </c>
    </row>
    <row r="3" spans="1:27" ht="14.45" x14ac:dyDescent="0.3">
      <c r="A3" t="s">
        <v>173</v>
      </c>
      <c r="B3">
        <v>0.3</v>
      </c>
      <c r="C3">
        <f>MIN(E3:O3)</f>
        <v>50</v>
      </c>
      <c r="D3">
        <f t="shared" ref="D3:D8" si="0">MAX(E3:O3)</f>
        <v>250</v>
      </c>
      <c r="E3">
        <v>50</v>
      </c>
      <c r="J3">
        <v>150</v>
      </c>
      <c r="O3">
        <v>250</v>
      </c>
      <c r="Q3" s="3"/>
      <c r="R3" s="4"/>
      <c r="S3" s="7"/>
      <c r="T3" s="7">
        <v>-2.0000000000000002E-5</v>
      </c>
      <c r="U3" s="7">
        <v>1.0999999999999999E-2</v>
      </c>
      <c r="V3" s="7">
        <v>-0.5</v>
      </c>
      <c r="W3" s="6">
        <f>Q3*X3^5+R3*X3^4+S3*X3^3+T3*X3^2+U3*X3+V3</f>
        <v>1</v>
      </c>
      <c r="X3" s="2">
        <v>250</v>
      </c>
      <c r="Z3" t="s">
        <v>103</v>
      </c>
      <c r="AA3">
        <v>0</v>
      </c>
    </row>
    <row r="4" spans="1:27" ht="14.45" x14ac:dyDescent="0.3">
      <c r="A4" t="s">
        <v>183</v>
      </c>
      <c r="B4">
        <v>0.25</v>
      </c>
      <c r="C4">
        <f>MIN(E4:O4)</f>
        <v>0</v>
      </c>
      <c r="D4">
        <f t="shared" si="0"/>
        <v>500</v>
      </c>
      <c r="E4">
        <v>0</v>
      </c>
      <c r="F4">
        <v>40</v>
      </c>
      <c r="G4">
        <v>70</v>
      </c>
      <c r="H4">
        <v>100</v>
      </c>
      <c r="I4">
        <v>135</v>
      </c>
      <c r="J4">
        <v>180</v>
      </c>
      <c r="K4">
        <v>220</v>
      </c>
      <c r="L4">
        <v>260</v>
      </c>
      <c r="M4">
        <v>300</v>
      </c>
      <c r="N4">
        <v>400</v>
      </c>
      <c r="O4">
        <v>500</v>
      </c>
      <c r="Q4" s="3"/>
      <c r="R4" s="4"/>
      <c r="S4" s="7">
        <v>1.1776000000000001E-8</v>
      </c>
      <c r="T4" s="7">
        <v>-1.427137E-5</v>
      </c>
      <c r="U4" s="7">
        <v>6.1948089999999999E-3</v>
      </c>
      <c r="V4" s="7"/>
      <c r="W4" s="7">
        <f>Q4*X4^5+R4*X4^4+S4*X4^3+T4*X4^2+U4*X4+V4</f>
        <v>0.98771606400000023</v>
      </c>
      <c r="X4" s="2">
        <v>480</v>
      </c>
    </row>
    <row r="5" spans="1:27" ht="14.45" x14ac:dyDescent="0.3">
      <c r="A5" t="s">
        <v>193</v>
      </c>
      <c r="B5">
        <v>0.15</v>
      </c>
      <c r="C5">
        <f>MIN(E5:O5)</f>
        <v>-120</v>
      </c>
      <c r="D5">
        <f t="shared" si="0"/>
        <v>-80</v>
      </c>
      <c r="E5">
        <v>-80</v>
      </c>
      <c r="O5">
        <v>-120</v>
      </c>
      <c r="P5" s="3"/>
      <c r="Q5" s="3"/>
      <c r="R5" s="4"/>
      <c r="S5" s="7"/>
      <c r="T5" s="7"/>
      <c r="U5" s="7">
        <v>-2.5000000000000001E-2</v>
      </c>
      <c r="V5" s="7">
        <v>-2</v>
      </c>
      <c r="W5" s="7">
        <f>Q5*X5^5+R5*X5^4+S5*X5^3+T5*X5^2+U5*X5+V5</f>
        <v>0.5</v>
      </c>
      <c r="X5" s="2">
        <v>-100</v>
      </c>
      <c r="Z5" t="s">
        <v>175</v>
      </c>
    </row>
    <row r="6" spans="1:27" ht="14.45" x14ac:dyDescent="0.3">
      <c r="A6" t="s">
        <v>174</v>
      </c>
      <c r="B6">
        <v>0.1</v>
      </c>
      <c r="Q6" s="4"/>
      <c r="R6" s="4"/>
      <c r="S6" s="4"/>
      <c r="T6" s="4"/>
      <c r="U6" s="4"/>
      <c r="V6" s="4"/>
      <c r="W6" s="7">
        <f>Q6*X6^5+R6*X6^4+S6*X6^3+T6*X6^2+U6*X6+V6</f>
        <v>0</v>
      </c>
      <c r="X6" s="2">
        <v>100</v>
      </c>
      <c r="Z6" t="s">
        <v>176</v>
      </c>
      <c r="AA6">
        <v>0</v>
      </c>
    </row>
    <row r="7" spans="1:27" ht="14.45" x14ac:dyDescent="0.3">
      <c r="A7" t="s">
        <v>175</v>
      </c>
      <c r="B7">
        <v>0.1</v>
      </c>
      <c r="R7" s="4"/>
      <c r="S7" s="4"/>
      <c r="T7" s="4"/>
      <c r="U7" s="4"/>
      <c r="V7" s="4"/>
      <c r="Z7" t="s">
        <v>146</v>
      </c>
      <c r="AA7">
        <v>0.8</v>
      </c>
    </row>
    <row r="8" spans="1:27" ht="14.45" x14ac:dyDescent="0.3">
      <c r="A8" t="s">
        <v>184</v>
      </c>
      <c r="B8">
        <v>0.1</v>
      </c>
      <c r="C8">
        <f>MIN(E8:O8)</f>
        <v>-2</v>
      </c>
      <c r="D8">
        <f t="shared" si="0"/>
        <v>5</v>
      </c>
      <c r="E8">
        <v>-2</v>
      </c>
      <c r="O8">
        <v>5</v>
      </c>
      <c r="R8" s="4"/>
      <c r="S8" s="4"/>
      <c r="T8" s="4"/>
      <c r="U8" s="2">
        <v>0.1429</v>
      </c>
      <c r="V8" s="2">
        <v>0.28570000000000001</v>
      </c>
      <c r="W8" s="14">
        <f>T8*X8^2+U8*X8+V8</f>
        <v>0.14280000000000001</v>
      </c>
      <c r="X8" s="2">
        <v>-1</v>
      </c>
      <c r="Z8" t="s">
        <v>148</v>
      </c>
      <c r="AA8">
        <v>1</v>
      </c>
    </row>
    <row r="9" spans="1:27" ht="14.45" x14ac:dyDescent="0.3">
      <c r="R9" s="4"/>
      <c r="S9" s="4"/>
      <c r="T9" s="4"/>
      <c r="U9" s="4"/>
      <c r="V9" s="4"/>
    </row>
    <row r="10" spans="1:27" ht="14.45" x14ac:dyDescent="0.3">
      <c r="B10">
        <v>0</v>
      </c>
      <c r="G10" s="10"/>
      <c r="H10" s="10"/>
      <c r="I10" s="10"/>
      <c r="J10" s="10"/>
      <c r="L10" s="10"/>
      <c r="M10" s="10"/>
      <c r="N10" s="10"/>
      <c r="R10" s="4"/>
      <c r="S10" s="4"/>
      <c r="T10" s="4"/>
      <c r="U10" s="7"/>
      <c r="V10" s="7"/>
    </row>
    <row r="11" spans="1:27" ht="14.45" x14ac:dyDescent="0.3">
      <c r="B11" t="str">
        <f>'Comm Payload'!B1</f>
        <v>Wave Relay</v>
      </c>
      <c r="C11" t="str">
        <f>'Comm Payload'!C1</f>
        <v>Wave Relay Quad</v>
      </c>
      <c r="D11" t="str">
        <f>'Comm Payload'!D1</f>
        <v>Xiphos - 6RU</v>
      </c>
      <c r="E11" t="str">
        <f>'Comm Payload'!E1</f>
        <v>Xiphos - 1RU</v>
      </c>
      <c r="F11" t="str">
        <f>'Comm Payload'!F1</f>
        <v>WildCat II</v>
      </c>
      <c r="G11" t="str">
        <f>'Comm Payload'!G1</f>
        <v>Ocelot</v>
      </c>
      <c r="H11" t="str">
        <f>'Comm Payload'!H1</f>
        <v>Falcon III RF-7800W OU440</v>
      </c>
      <c r="I11" t="str">
        <f>'Comm Payload'!I1</f>
        <v>Falcon III AN/PRC-117G</v>
      </c>
      <c r="J11" t="str">
        <f>'Comm Payload'!J1</f>
        <v>Digital Data Link</v>
      </c>
    </row>
    <row r="12" spans="1:27" ht="14.45" x14ac:dyDescent="0.3">
      <c r="A12" t="s">
        <v>177</v>
      </c>
      <c r="B12">
        <f>'Comm Payload'!B8+'Comm Payload'!B9</f>
        <v>74</v>
      </c>
      <c r="C12">
        <f>'Comm Payload'!C8+'Comm Payload'!C9</f>
        <v>296</v>
      </c>
      <c r="D12">
        <f>'Comm Payload'!D8+'Comm Payload'!D9</f>
        <v>458</v>
      </c>
      <c r="E12">
        <f>'Comm Payload'!E8+'Comm Payload'!E9</f>
        <v>200</v>
      </c>
      <c r="F12">
        <f>'Comm Payload'!F8+'Comm Payload'!F9</f>
        <v>80</v>
      </c>
      <c r="G12">
        <f>'Comm Payload'!G8+'Comm Payload'!G9</f>
        <v>16</v>
      </c>
      <c r="H12">
        <f>'Comm Payload'!H8+'Comm Payload'!H9</f>
        <v>180</v>
      </c>
      <c r="I12">
        <f>'Comm Payload'!I8+'Comm Payload'!I9</f>
        <v>3.2000000000000001E-2</v>
      </c>
      <c r="J12">
        <f>'Comm Payload'!J8+'Comm Payload'!J9</f>
        <v>9</v>
      </c>
    </row>
    <row r="13" spans="1:27" ht="14.45" x14ac:dyDescent="0.3">
      <c r="A13" t="s">
        <v>157</v>
      </c>
      <c r="B13">
        <f>'Comm Payload'!B4</f>
        <v>2</v>
      </c>
      <c r="C13">
        <f>'Comm Payload'!C4</f>
        <v>2</v>
      </c>
      <c r="D13">
        <f>'Comm Payload'!D4</f>
        <v>480</v>
      </c>
      <c r="E13">
        <f>'Comm Payload'!E4</f>
        <v>80</v>
      </c>
      <c r="F13">
        <f>'Comm Payload'!F4</f>
        <v>8</v>
      </c>
      <c r="G13">
        <f>'Comm Payload'!G4</f>
        <v>2</v>
      </c>
      <c r="H13">
        <f>'Comm Payload'!H4</f>
        <v>0.316</v>
      </c>
      <c r="I13">
        <f>'Comm Payload'!I4</f>
        <v>20</v>
      </c>
      <c r="J13">
        <f>'Comm Payload'!J4</f>
        <v>1.5</v>
      </c>
    </row>
    <row r="14" spans="1:27" ht="14.45" x14ac:dyDescent="0.3">
      <c r="A14" t="str">
        <f>'Comm Payload'!A5</f>
        <v>Receiver Sensitivity (dBm)</v>
      </c>
      <c r="B14">
        <f>'Comm Payload'!B5</f>
        <v>-92</v>
      </c>
      <c r="C14">
        <f>'Comm Payload'!C5</f>
        <v>-92</v>
      </c>
      <c r="D14">
        <f>'Comm Payload'!D5</f>
        <v>-119.5</v>
      </c>
      <c r="E14">
        <f>'Comm Payload'!E5</f>
        <v>-119.5</v>
      </c>
      <c r="F14">
        <f>'Comm Payload'!F5</f>
        <v>-100</v>
      </c>
      <c r="G14">
        <f>'Comm Payload'!G5</f>
        <v>-104</v>
      </c>
      <c r="H14">
        <f>'Comm Payload'!H5</f>
        <v>-88</v>
      </c>
      <c r="I14">
        <f>'Comm Payload'!I5</f>
        <v>-118</v>
      </c>
      <c r="J14">
        <f>'Comm Payload'!J5</f>
        <v>-90</v>
      </c>
    </row>
    <row r="15" spans="1:27" ht="14.45" x14ac:dyDescent="0.3">
      <c r="A15" t="s">
        <v>174</v>
      </c>
      <c r="B15" t="str">
        <f>'Comm Payload'!B12</f>
        <v>Manet</v>
      </c>
      <c r="C15" t="str">
        <f>'Comm Payload'!C12</f>
        <v>Manet</v>
      </c>
      <c r="D15" t="str">
        <f>'Comm Payload'!D12</f>
        <v>Manet</v>
      </c>
      <c r="E15" t="str">
        <f>'Comm Payload'!E12</f>
        <v>Manet</v>
      </c>
      <c r="F15" t="str">
        <f>'Comm Payload'!F12</f>
        <v>Manet</v>
      </c>
      <c r="G15" t="str">
        <f>'Comm Payload'!G12</f>
        <v>Manet</v>
      </c>
      <c r="H15" t="str">
        <f>'Comm Payload'!H12</f>
        <v>Mesh</v>
      </c>
      <c r="I15" t="str">
        <f>'Comm Payload'!I12</f>
        <v>Mesh</v>
      </c>
      <c r="J15" t="str">
        <f>'Comm Payload'!J12</f>
        <v>None</v>
      </c>
      <c r="K15" s="8"/>
    </row>
    <row r="16" spans="1:27" ht="14.45" x14ac:dyDescent="0.3">
      <c r="A16" t="s">
        <v>175</v>
      </c>
      <c r="B16" t="str">
        <f>'Comm Payload'!B17</f>
        <v>Data</v>
      </c>
      <c r="C16" t="str">
        <f>'Comm Payload'!C17</f>
        <v>Data</v>
      </c>
      <c r="D16" t="str">
        <f>'Comm Payload'!D17</f>
        <v>Data</v>
      </c>
      <c r="E16" t="str">
        <f>'Comm Payload'!E17</f>
        <v>Data</v>
      </c>
      <c r="F16" t="str">
        <f>'Comm Payload'!F17</f>
        <v>Both</v>
      </c>
      <c r="G16" t="str">
        <f>'Comm Payload'!G17</f>
        <v>Data</v>
      </c>
      <c r="H16" t="str">
        <f>'Comm Payload'!H17</f>
        <v>Data</v>
      </c>
      <c r="I16" t="str">
        <f>'Comm Payload'!I17</f>
        <v>Both</v>
      </c>
      <c r="J16" t="str">
        <f>'Comm Payload'!J17</f>
        <v>Data</v>
      </c>
      <c r="K16" s="8"/>
    </row>
    <row r="17" spans="1:11" ht="14.45" x14ac:dyDescent="0.3">
      <c r="A17" t="str">
        <f>'Comm Payload'!A11</f>
        <v>Year in Service</v>
      </c>
      <c r="B17">
        <f>'Comm Payload'!B11</f>
        <v>2</v>
      </c>
      <c r="C17">
        <f>'Comm Payload'!C11</f>
        <v>2</v>
      </c>
      <c r="D17">
        <f>'Comm Payload'!D11</f>
        <v>3</v>
      </c>
      <c r="E17">
        <f>'Comm Payload'!E11</f>
        <v>3</v>
      </c>
      <c r="F17">
        <f>'Comm Payload'!F11</f>
        <v>4</v>
      </c>
      <c r="G17">
        <f>'Comm Payload'!G11</f>
        <v>1</v>
      </c>
      <c r="H17">
        <f>'Comm Payload'!H11</f>
        <v>4</v>
      </c>
      <c r="I17">
        <f>'Comm Payload'!I11</f>
        <v>3</v>
      </c>
      <c r="J17">
        <f>'Comm Payload'!J11</f>
        <v>5</v>
      </c>
      <c r="K17" s="8"/>
    </row>
    <row r="18" spans="1:11" x14ac:dyDescent="0.25">
      <c r="A18" t="str">
        <f>'Comm Payload'!A26</f>
        <v>Cost - AQ</v>
      </c>
      <c r="B18">
        <f>'Comm Payload'!B26</f>
        <v>3640</v>
      </c>
      <c r="C18">
        <f>'Comm Payload'!C26</f>
        <v>7142</v>
      </c>
      <c r="D18">
        <f>'Comm Payload'!D26</f>
        <v>1378914</v>
      </c>
      <c r="E18">
        <f>'Comm Payload'!E26</f>
        <v>681332</v>
      </c>
      <c r="F18">
        <f>'Comm Payload'!F26</f>
        <v>50000</v>
      </c>
      <c r="G18">
        <f>'Comm Payload'!G26</f>
        <v>10000</v>
      </c>
      <c r="H18">
        <f>'Comm Payload'!H26</f>
        <v>25000</v>
      </c>
      <c r="I18">
        <f>'Comm Payload'!I26</f>
        <v>25000</v>
      </c>
      <c r="J18">
        <f>'Comm Payload'!J26</f>
        <v>5000</v>
      </c>
    </row>
  </sheetData>
  <pageMargins left="0.7" right="0.7" top="0.75" bottom="0.75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C35" sqref="C35"/>
    </sheetView>
  </sheetViews>
  <sheetFormatPr defaultRowHeight="15" x14ac:dyDescent="0.25"/>
  <cols>
    <col min="1" max="1" width="20.28515625" bestFit="1" customWidth="1"/>
    <col min="2" max="10" width="8.7109375" customWidth="1"/>
    <col min="11" max="11" width="4.5703125" bestFit="1" customWidth="1"/>
    <col min="12" max="12" width="10.28515625" bestFit="1" customWidth="1"/>
    <col min="13" max="13" width="6.7109375" bestFit="1" customWidth="1"/>
    <col min="14" max="14" width="12.28515625" bestFit="1" customWidth="1"/>
    <col min="15" max="15" width="9" bestFit="1" customWidth="1"/>
    <col min="16" max="16" width="5.28515625" bestFit="1" customWidth="1"/>
    <col min="17" max="18" width="8.7109375" bestFit="1" customWidth="1"/>
  </cols>
  <sheetData>
    <row r="1" spans="1:10" ht="14.45" x14ac:dyDescent="0.3">
      <c r="A1" t="s">
        <v>57</v>
      </c>
      <c r="B1" t="s">
        <v>191</v>
      </c>
      <c r="C1" t="s">
        <v>189</v>
      </c>
      <c r="D1" t="s">
        <v>186</v>
      </c>
      <c r="E1" t="s">
        <v>187</v>
      </c>
      <c r="F1" t="s">
        <v>58</v>
      </c>
      <c r="G1" t="s">
        <v>169</v>
      </c>
      <c r="H1" t="s">
        <v>216</v>
      </c>
      <c r="I1" t="s">
        <v>188</v>
      </c>
      <c r="J1" t="s">
        <v>185</v>
      </c>
    </row>
    <row r="2" spans="1:10" ht="14.45" x14ac:dyDescent="0.3">
      <c r="A2" t="s">
        <v>11</v>
      </c>
      <c r="B2" t="s">
        <v>49</v>
      </c>
      <c r="C2" t="s">
        <v>49</v>
      </c>
      <c r="D2" t="s">
        <v>50</v>
      </c>
      <c r="E2" t="s">
        <v>50</v>
      </c>
      <c r="F2" t="s">
        <v>48</v>
      </c>
      <c r="G2" t="s">
        <v>48</v>
      </c>
      <c r="H2" t="s">
        <v>66</v>
      </c>
      <c r="I2" t="s">
        <v>66</v>
      </c>
      <c r="J2" t="s">
        <v>67</v>
      </c>
    </row>
    <row r="3" spans="1:10" ht="14.45" x14ac:dyDescent="0.3">
      <c r="A3" t="s">
        <v>9</v>
      </c>
      <c r="B3">
        <v>0.2</v>
      </c>
      <c r="C3">
        <v>3.2</v>
      </c>
      <c r="D3">
        <f>25+6*33+13+20*2</f>
        <v>276</v>
      </c>
      <c r="E3">
        <f>25+33+20</f>
        <v>78</v>
      </c>
      <c r="F3">
        <f>55/16</f>
        <v>3.4375</v>
      </c>
      <c r="G3">
        <f>3/16</f>
        <v>0.1875</v>
      </c>
      <c r="H3">
        <v>5.5</v>
      </c>
      <c r="I3">
        <v>12</v>
      </c>
      <c r="J3">
        <v>0.2</v>
      </c>
    </row>
    <row r="4" spans="1:10" ht="14.45" x14ac:dyDescent="0.3">
      <c r="A4" t="s">
        <v>157</v>
      </c>
      <c r="B4">
        <v>2</v>
      </c>
      <c r="C4">
        <v>2</v>
      </c>
      <c r="D4">
        <f>6*80</f>
        <v>480</v>
      </c>
      <c r="E4">
        <v>80</v>
      </c>
      <c r="F4">
        <v>8</v>
      </c>
      <c r="G4">
        <v>2</v>
      </c>
      <c r="H4">
        <v>0.316</v>
      </c>
      <c r="I4">
        <v>20</v>
      </c>
      <c r="J4">
        <v>1.5</v>
      </c>
    </row>
    <row r="5" spans="1:10" ht="14.45" x14ac:dyDescent="0.3">
      <c r="A5" t="s">
        <v>192</v>
      </c>
      <c r="B5">
        <v>-92</v>
      </c>
      <c r="C5">
        <v>-92</v>
      </c>
      <c r="D5">
        <v>-119.5</v>
      </c>
      <c r="E5">
        <v>-119.5</v>
      </c>
      <c r="F5">
        <v>-100</v>
      </c>
      <c r="G5">
        <v>-104</v>
      </c>
      <c r="H5" s="15">
        <v>-88</v>
      </c>
      <c r="I5" s="15">
        <v>-118</v>
      </c>
      <c r="J5" s="15">
        <v>-90</v>
      </c>
    </row>
    <row r="6" spans="1:10" ht="14.45" x14ac:dyDescent="0.3">
      <c r="A6" t="s">
        <v>54</v>
      </c>
      <c r="B6">
        <v>16.5</v>
      </c>
      <c r="C6">
        <v>55</v>
      </c>
      <c r="D6">
        <v>3275</v>
      </c>
      <c r="E6">
        <v>855</v>
      </c>
      <c r="F6">
        <v>21</v>
      </c>
      <c r="G6">
        <v>4.3</v>
      </c>
      <c r="H6">
        <v>22</v>
      </c>
      <c r="I6">
        <v>55</v>
      </c>
      <c r="J6">
        <v>9</v>
      </c>
    </row>
    <row r="7" spans="1:10" ht="14.45" hidden="1" x14ac:dyDescent="0.3">
      <c r="A7" t="s">
        <v>79</v>
      </c>
      <c r="B7">
        <v>130</v>
      </c>
      <c r="D7">
        <v>62</v>
      </c>
      <c r="G7">
        <v>26</v>
      </c>
    </row>
    <row r="8" spans="1:10" ht="14.45" x14ac:dyDescent="0.3">
      <c r="A8" t="s">
        <v>55</v>
      </c>
      <c r="B8">
        <v>37</v>
      </c>
      <c r="C8">
        <f>37*4</f>
        <v>148</v>
      </c>
      <c r="D8">
        <v>346</v>
      </c>
      <c r="E8">
        <v>150</v>
      </c>
      <c r="F8">
        <v>40</v>
      </c>
      <c r="G8">
        <v>8</v>
      </c>
      <c r="H8">
        <v>90</v>
      </c>
      <c r="I8">
        <v>1.6E-2</v>
      </c>
      <c r="J8">
        <v>4.5</v>
      </c>
    </row>
    <row r="9" spans="1:10" ht="14.45" x14ac:dyDescent="0.3">
      <c r="A9" t="s">
        <v>56</v>
      </c>
      <c r="B9">
        <v>37</v>
      </c>
      <c r="C9">
        <f>37*4</f>
        <v>148</v>
      </c>
      <c r="D9">
        <v>112</v>
      </c>
      <c r="E9">
        <v>50</v>
      </c>
      <c r="F9">
        <v>40</v>
      </c>
      <c r="G9">
        <v>8</v>
      </c>
      <c r="H9">
        <v>90</v>
      </c>
      <c r="I9">
        <v>1.6E-2</v>
      </c>
      <c r="J9">
        <v>4.5</v>
      </c>
    </row>
    <row r="10" spans="1:10" ht="14.45" x14ac:dyDescent="0.3">
      <c r="A10" t="s">
        <v>167</v>
      </c>
      <c r="B10">
        <v>2012</v>
      </c>
      <c r="C10">
        <v>2012</v>
      </c>
      <c r="D10">
        <v>2011</v>
      </c>
      <c r="E10">
        <v>2011</v>
      </c>
      <c r="F10">
        <v>2010</v>
      </c>
      <c r="G10">
        <v>2013</v>
      </c>
      <c r="H10">
        <v>2010</v>
      </c>
      <c r="I10">
        <v>2011</v>
      </c>
      <c r="J10">
        <v>2009</v>
      </c>
    </row>
    <row r="11" spans="1:10" ht="14.45" x14ac:dyDescent="0.3">
      <c r="A11" t="s">
        <v>168</v>
      </c>
      <c r="B11" s="7">
        <f>IF(EXACT(B10,"-"),B10,2014-B10)</f>
        <v>2</v>
      </c>
      <c r="C11" s="7">
        <f>IF(EXACT(C10,"-"),C10,2014-C10)</f>
        <v>2</v>
      </c>
      <c r="D11" s="7">
        <f t="shared" ref="D11:J11" si="0">IF(EXACT(D10,"-"),D10,2014-D10)</f>
        <v>3</v>
      </c>
      <c r="E11" s="7">
        <f t="shared" si="0"/>
        <v>3</v>
      </c>
      <c r="F11" s="7">
        <f t="shared" si="0"/>
        <v>4</v>
      </c>
      <c r="G11" s="7">
        <f t="shared" si="0"/>
        <v>1</v>
      </c>
      <c r="H11" s="7">
        <f t="shared" si="0"/>
        <v>4</v>
      </c>
      <c r="I11" s="7">
        <f t="shared" si="0"/>
        <v>3</v>
      </c>
      <c r="J11" s="7">
        <f t="shared" si="0"/>
        <v>5</v>
      </c>
    </row>
    <row r="12" spans="1:10" ht="14.45" x14ac:dyDescent="0.3">
      <c r="A12" t="s">
        <v>217</v>
      </c>
      <c r="B12" t="s">
        <v>178</v>
      </c>
      <c r="C12" t="s">
        <v>178</v>
      </c>
      <c r="D12" t="s">
        <v>178</v>
      </c>
      <c r="E12" t="s">
        <v>178</v>
      </c>
      <c r="F12" t="s">
        <v>178</v>
      </c>
      <c r="G12" t="s">
        <v>178</v>
      </c>
      <c r="H12" t="s">
        <v>174</v>
      </c>
      <c r="I12" t="s">
        <v>174</v>
      </c>
      <c r="J12" t="s">
        <v>103</v>
      </c>
    </row>
    <row r="13" spans="1:10" ht="14.45" hidden="1" x14ac:dyDescent="0.3">
      <c r="A13" t="s">
        <v>53</v>
      </c>
      <c r="B13" t="s">
        <v>65</v>
      </c>
      <c r="D13">
        <v>20</v>
      </c>
      <c r="F13" t="s">
        <v>65</v>
      </c>
    </row>
    <row r="14" spans="1:10" ht="14.45" hidden="1" x14ac:dyDescent="0.3">
      <c r="A14" t="s">
        <v>51</v>
      </c>
      <c r="B14">
        <v>1</v>
      </c>
      <c r="D14">
        <v>24</v>
      </c>
      <c r="E14">
        <v>4</v>
      </c>
    </row>
    <row r="15" spans="1:10" ht="14.45" hidden="1" x14ac:dyDescent="0.3">
      <c r="A15" t="s">
        <v>52</v>
      </c>
      <c r="B15">
        <v>15</v>
      </c>
      <c r="F15">
        <v>4</v>
      </c>
    </row>
    <row r="16" spans="1:10" ht="14.45" hidden="1" x14ac:dyDescent="0.3">
      <c r="A16" t="s">
        <v>68</v>
      </c>
      <c r="B16">
        <f>0.7*3.9*2.7</f>
        <v>7.3710000000000004</v>
      </c>
      <c r="F16">
        <f>5.5*5*2</f>
        <v>55</v>
      </c>
      <c r="G16">
        <f>3.37*2.12*0.54</f>
        <v>3.8579760000000007</v>
      </c>
      <c r="H16">
        <v>42</v>
      </c>
      <c r="I16">
        <f>7.4*3.7*1.5</f>
        <v>41.070000000000007</v>
      </c>
    </row>
    <row r="17" spans="1:10" ht="14.45" x14ac:dyDescent="0.3">
      <c r="A17" t="s">
        <v>147</v>
      </c>
      <c r="B17" t="s">
        <v>146</v>
      </c>
      <c r="C17" t="s">
        <v>146</v>
      </c>
      <c r="D17" t="s">
        <v>146</v>
      </c>
      <c r="E17" t="s">
        <v>146</v>
      </c>
      <c r="F17" t="s">
        <v>148</v>
      </c>
      <c r="G17" t="s">
        <v>146</v>
      </c>
      <c r="H17" t="s">
        <v>146</v>
      </c>
      <c r="I17" t="s">
        <v>148</v>
      </c>
      <c r="J17" t="s">
        <v>146</v>
      </c>
    </row>
    <row r="18" spans="1:10" ht="14.45" hidden="1" x14ac:dyDescent="0.3">
      <c r="A18" t="s">
        <v>59</v>
      </c>
      <c r="F18">
        <v>3</v>
      </c>
    </row>
    <row r="19" spans="1:10" ht="14.45" hidden="1" x14ac:dyDescent="0.3">
      <c r="A19" t="s">
        <v>70</v>
      </c>
      <c r="B19" t="s">
        <v>159</v>
      </c>
      <c r="D19" t="s">
        <v>145</v>
      </c>
      <c r="F19" t="s">
        <v>162</v>
      </c>
      <c r="G19" t="s">
        <v>162</v>
      </c>
      <c r="H19" t="s">
        <v>163</v>
      </c>
      <c r="I19" t="s">
        <v>163</v>
      </c>
      <c r="J19" t="s">
        <v>144</v>
      </c>
    </row>
    <row r="20" spans="1:10" ht="14.45" hidden="1" x14ac:dyDescent="0.3">
      <c r="A20" t="s">
        <v>69</v>
      </c>
    </row>
    <row r="21" spans="1:10" ht="14.45" hidden="1" x14ac:dyDescent="0.3">
      <c r="A21" t="s">
        <v>60</v>
      </c>
    </row>
    <row r="22" spans="1:10" ht="14.45" hidden="1" x14ac:dyDescent="0.3">
      <c r="A22" t="s">
        <v>61</v>
      </c>
    </row>
    <row r="23" spans="1:10" ht="14.45" hidden="1" x14ac:dyDescent="0.3">
      <c r="A23" t="s">
        <v>62</v>
      </c>
    </row>
    <row r="24" spans="1:10" ht="14.45" hidden="1" x14ac:dyDescent="0.3">
      <c r="A24" t="s">
        <v>63</v>
      </c>
      <c r="B24" t="e">
        <f>B22/(B22+B23)</f>
        <v>#DIV/0!</v>
      </c>
      <c r="D24" t="e">
        <f>D22/(D22+D23)</f>
        <v>#DIV/0!</v>
      </c>
      <c r="F24" t="e">
        <f>F22/(F22+F23)</f>
        <v>#DIV/0!</v>
      </c>
      <c r="H24" t="e">
        <f>H22/(H22+H23)</f>
        <v>#DIV/0!</v>
      </c>
      <c r="J24" t="e">
        <f>J22/(J22+J23)</f>
        <v>#DIV/0!</v>
      </c>
    </row>
    <row r="25" spans="1:10" ht="14.45" hidden="1" x14ac:dyDescent="0.3">
      <c r="A25" t="s">
        <v>64</v>
      </c>
    </row>
    <row r="26" spans="1:10" ht="14.45" x14ac:dyDescent="0.3">
      <c r="A26" t="s">
        <v>10</v>
      </c>
      <c r="B26">
        <v>3640</v>
      </c>
      <c r="C26">
        <v>7142</v>
      </c>
      <c r="D26">
        <v>1378914</v>
      </c>
      <c r="E26">
        <v>681332</v>
      </c>
      <c r="F26">
        <v>50000</v>
      </c>
      <c r="G26">
        <v>10000</v>
      </c>
      <c r="H26">
        <v>25000</v>
      </c>
      <c r="I26">
        <v>25000</v>
      </c>
      <c r="J26">
        <v>5000</v>
      </c>
    </row>
    <row r="27" spans="1:10" ht="14.45" hidden="1" x14ac:dyDescent="0.3">
      <c r="A27" t="s">
        <v>7</v>
      </c>
      <c r="F27">
        <v>44000</v>
      </c>
      <c r="G27">
        <v>11600</v>
      </c>
    </row>
    <row r="28" spans="1:10" ht="14.45" hidden="1" x14ac:dyDescent="0.3">
      <c r="J28">
        <v>20377</v>
      </c>
    </row>
    <row r="29" spans="1:10" ht="14.45" hidden="1" x14ac:dyDescent="0.3">
      <c r="B29" t="s">
        <v>160</v>
      </c>
      <c r="D29" s="13" t="s">
        <v>161</v>
      </c>
      <c r="E29" s="13"/>
      <c r="F29" t="s">
        <v>171</v>
      </c>
      <c r="G29" s="13" t="s">
        <v>170</v>
      </c>
      <c r="H29" s="13" t="s">
        <v>165</v>
      </c>
      <c r="I29" t="s">
        <v>164</v>
      </c>
      <c r="J29" t="s">
        <v>158</v>
      </c>
    </row>
    <row r="30" spans="1:10" ht="14.45" hidden="1" x14ac:dyDescent="0.3">
      <c r="D30" t="s">
        <v>137</v>
      </c>
      <c r="H30" t="s">
        <v>166</v>
      </c>
      <c r="J30" t="s">
        <v>138</v>
      </c>
    </row>
    <row r="31" spans="1:10" ht="14.45" hidden="1" x14ac:dyDescent="0.3"/>
    <row r="32" spans="1:10" ht="14.45" hidden="1" x14ac:dyDescent="0.3">
      <c r="H32" s="13" t="s">
        <v>139</v>
      </c>
      <c r="I32" s="13"/>
    </row>
  </sheetData>
  <hyperlinks>
    <hyperlink ref="H32" r:id="rId1"/>
    <hyperlink ref="H29" r:id="rId2"/>
    <hyperlink ref="D29" r:id="rId3"/>
    <hyperlink ref="G29" r:id="rId4"/>
  </hyperlinks>
  <pageMargins left="0.7" right="0.7" top="0.75" bottom="0.75" header="0.3" footer="0.3"/>
  <pageSetup scale="68" orientation="landscape"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Z10"/>
  <sheetViews>
    <sheetView zoomScale="110" zoomScaleNormal="110" workbookViewId="0">
      <pane xSplit="1" ySplit="2" topLeftCell="B3" activePane="bottomRight" state="frozen"/>
      <selection activeCell="L47" sqref="L47"/>
      <selection pane="topRight" activeCell="L47" sqref="L47"/>
      <selection pane="bottomLeft" activeCell="L47" sqref="L47"/>
      <selection pane="bottomRight" activeCell="H9" sqref="H9"/>
    </sheetView>
  </sheetViews>
  <sheetFormatPr defaultColWidth="20" defaultRowHeight="15" x14ac:dyDescent="0.25"/>
  <cols>
    <col min="1" max="1" width="13.85546875" bestFit="1" customWidth="1"/>
    <col min="2" max="2" width="7.28515625" bestFit="1" customWidth="1"/>
    <col min="3" max="3" width="12" bestFit="1" customWidth="1"/>
    <col min="4" max="4" width="15.42578125" bestFit="1" customWidth="1"/>
    <col min="5" max="8" width="12" bestFit="1" customWidth="1"/>
    <col min="9" max="9" width="22" bestFit="1" customWidth="1"/>
    <col min="10" max="10" width="20.42578125" bestFit="1" customWidth="1"/>
    <col min="11" max="21" width="14.28515625" customWidth="1"/>
  </cols>
  <sheetData>
    <row r="1" spans="1:26" x14ac:dyDescent="0.3">
      <c r="B1" t="s">
        <v>115</v>
      </c>
      <c r="C1" s="11">
        <f t="shared" ref="C1" si="0">SUMPRODUCT($B$3:$B$18,C3:C18)</f>
        <v>0.34657715668200006</v>
      </c>
      <c r="D1" s="11">
        <f t="shared" ref="D1:K1" si="1">SUMPRODUCT($B$3:$B$18,D3:D18)</f>
        <v>0.58523315668200016</v>
      </c>
      <c r="E1" s="11">
        <f t="shared" si="1"/>
        <v>0.94649401599999994</v>
      </c>
      <c r="F1" s="11">
        <f t="shared" si="1"/>
        <v>0.77213431599999982</v>
      </c>
      <c r="G1" s="11">
        <f t="shared" si="1"/>
        <v>0.44849278340799992</v>
      </c>
      <c r="H1" s="11">
        <f t="shared" si="1"/>
        <v>0.31594315668200001</v>
      </c>
      <c r="I1" s="11">
        <f t="shared" si="1"/>
        <v>0.54581903373341578</v>
      </c>
      <c r="J1" s="11">
        <f t="shared" si="1"/>
        <v>0.44351046</v>
      </c>
      <c r="K1" s="11">
        <f t="shared" si="1"/>
        <v>0.21983503566537502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3">
      <c r="A2" t="s">
        <v>114</v>
      </c>
      <c r="B2" t="s">
        <v>9</v>
      </c>
      <c r="C2" t="str">
        <f>'Comm Payload'!B1</f>
        <v>Wave Relay</v>
      </c>
      <c r="D2" t="str">
        <f>'Comm Payload'!C1</f>
        <v>Wave Relay Quad</v>
      </c>
      <c r="E2" t="str">
        <f>'Comm Payload'!D1</f>
        <v>Xiphos - 6RU</v>
      </c>
      <c r="F2" t="str">
        <f>'Comm Payload'!E1</f>
        <v>Xiphos - 1RU</v>
      </c>
      <c r="G2" t="str">
        <f>'Comm Payload'!F1</f>
        <v>WildCat II</v>
      </c>
      <c r="H2" t="str">
        <f>'Comm Payload'!G1</f>
        <v>Ocelot</v>
      </c>
      <c r="I2" t="str">
        <f>'Comm Payload'!H1</f>
        <v>Falcon III RF-7800W OU440</v>
      </c>
      <c r="J2" t="str">
        <f>'Comm Payload'!I1</f>
        <v>Falcon III AN/PRC-117G</v>
      </c>
      <c r="K2" t="str">
        <f>'Comm Payload'!J1</f>
        <v>Digital Data Link</v>
      </c>
    </row>
    <row r="3" spans="1:26" x14ac:dyDescent="0.3">
      <c r="A3" t="str">
        <f>'Comm V(x)'!A3</f>
        <v>Throughput</v>
      </c>
      <c r="B3">
        <f>'Comm V(x)'!B3</f>
        <v>0.3</v>
      </c>
      <c r="C3">
        <f>IF('Comm V(x)'!B12&lt;'Comm V(x)'!$C3,0,IF('Comm V(x)'!B12&gt;'Comm V(x)'!$D3,1,'Comm V(x)'!$Q3*('Comm V(x)'!B12)^5+'Comm V(x)'!$R3*('Comm V(x)'!B12)^4+'Comm V(x)'!$S3*('Comm V(x)'!B12)^3+'Comm V(x)'!$T3*('Comm V(x)'!B12)^2+'Comm V(x)'!$U3*('Comm V(x)'!B12)+'Comm V(x)'!$V3))</f>
        <v>0.20448</v>
      </c>
      <c r="D3">
        <f>IF('Comm V(x)'!C12&lt;'Comm V(x)'!$C3,0,IF('Comm V(x)'!C12&gt;'Comm V(x)'!$D3,1,'Comm V(x)'!$Q3*('Comm V(x)'!C12)^5+'Comm V(x)'!$R3*('Comm V(x)'!C12)^4+'Comm V(x)'!$S3*('Comm V(x)'!C12)^3+'Comm V(x)'!$T3*('Comm V(x)'!C12)^2+'Comm V(x)'!$U3*('Comm V(x)'!C12)+'Comm V(x)'!$V3))</f>
        <v>1</v>
      </c>
      <c r="E3">
        <f>IF('Comm V(x)'!D12&lt;'Comm V(x)'!$C3,0,IF('Comm V(x)'!D12&gt;'Comm V(x)'!$D3,1,'Comm V(x)'!$Q3*('Comm V(x)'!D12)^5+'Comm V(x)'!$R3*('Comm V(x)'!D12)^4+'Comm V(x)'!$S3*('Comm V(x)'!D12)^3+'Comm V(x)'!$T3*('Comm V(x)'!D12)^2+'Comm V(x)'!$U3*('Comm V(x)'!D12)+'Comm V(x)'!$V3))</f>
        <v>1</v>
      </c>
      <c r="F3">
        <f>IF('Comm V(x)'!E12&lt;'Comm V(x)'!$C3,0,IF('Comm V(x)'!E12&gt;'Comm V(x)'!$D3,1,'Comm V(x)'!$Q3*('Comm V(x)'!E12)^5+'Comm V(x)'!$R3*('Comm V(x)'!E12)^4+'Comm V(x)'!$S3*('Comm V(x)'!E12)^3+'Comm V(x)'!$T3*('Comm V(x)'!E12)^2+'Comm V(x)'!$U3*('Comm V(x)'!E12)+'Comm V(x)'!$V3))</f>
        <v>0.89999999999999969</v>
      </c>
      <c r="G3">
        <f>IF('Comm V(x)'!F12&lt;'Comm V(x)'!$C3,0,IF('Comm V(x)'!F12&gt;'Comm V(x)'!$D3,1,'Comm V(x)'!$Q3*('Comm V(x)'!F12)^5+'Comm V(x)'!$R3*('Comm V(x)'!F12)^4+'Comm V(x)'!$S3*('Comm V(x)'!F12)^3+'Comm V(x)'!$T3*('Comm V(x)'!F12)^2+'Comm V(x)'!$U3*('Comm V(x)'!F12)+'Comm V(x)'!$V3))</f>
        <v>0.25199999999999989</v>
      </c>
      <c r="H3">
        <f>IF('Comm V(x)'!G12&lt;'Comm V(x)'!$C3,0,IF('Comm V(x)'!G12&gt;'Comm V(x)'!$D3,1,'Comm V(x)'!$Q3*('Comm V(x)'!G12)^5+'Comm V(x)'!$R3*('Comm V(x)'!G12)^4+'Comm V(x)'!$S3*('Comm V(x)'!G12)^3+'Comm V(x)'!$T3*('Comm V(x)'!G12)^2+'Comm V(x)'!$U3*('Comm V(x)'!G12)+'Comm V(x)'!$V3))</f>
        <v>0</v>
      </c>
      <c r="I3">
        <f>IF('Comm V(x)'!H12&lt;'Comm V(x)'!$C3,0,IF('Comm V(x)'!H12&gt;'Comm V(x)'!$D3,1,'Comm V(x)'!$Q3*('Comm V(x)'!H12)^5+'Comm V(x)'!$R3*('Comm V(x)'!H12)^4+'Comm V(x)'!$S3*('Comm V(x)'!H12)^3+'Comm V(x)'!$T3*('Comm V(x)'!H12)^2+'Comm V(x)'!$U3*('Comm V(x)'!H12)+'Comm V(x)'!$V3))</f>
        <v>0.83199999999999985</v>
      </c>
      <c r="J3">
        <f>IF('Comm V(x)'!I12&lt;'Comm V(x)'!$C3,0,IF('Comm V(x)'!I12&gt;'Comm V(x)'!$D3,1,'Comm V(x)'!$Q3*('Comm V(x)'!I12)^5+'Comm V(x)'!$R3*('Comm V(x)'!I12)^4+'Comm V(x)'!$S3*('Comm V(x)'!I12)^3+'Comm V(x)'!$T3*('Comm V(x)'!I12)^2+'Comm V(x)'!$U3*('Comm V(x)'!I12)+'Comm V(x)'!$V3))</f>
        <v>0</v>
      </c>
      <c r="K3">
        <f>IF('Comm V(x)'!J12&lt;'Comm V(x)'!$C3,0,IF('Comm V(x)'!J12&gt;'Comm V(x)'!$D3,1,'Comm V(x)'!$Q3*('Comm V(x)'!J12)^5+'Comm V(x)'!$R3*('Comm V(x)'!J12)^4+'Comm V(x)'!$S3*('Comm V(x)'!J12)^3+'Comm V(x)'!$T3*('Comm V(x)'!J12)^2+'Comm V(x)'!$U3*('Comm V(x)'!J12)+'Comm V(x)'!$V3))</f>
        <v>0</v>
      </c>
    </row>
    <row r="4" spans="1:26" x14ac:dyDescent="0.3">
      <c r="A4" t="str">
        <f>'Comm V(x)'!A4</f>
        <v>Power Output</v>
      </c>
      <c r="B4">
        <f>'Comm V(x)'!B4</f>
        <v>0.25</v>
      </c>
      <c r="C4">
        <f>IF('Comm V(x)'!B13&lt;'Comm V(x)'!$C4,0,IF('Comm V(x)'!B13&gt;'Comm V(x)'!$D4,1,'Comm V(x)'!$Q4*('Comm V(x)'!B13)^5+'Comm V(x)'!$R4*('Comm V(x)'!B13)^4+'Comm V(x)'!$S4*('Comm V(x)'!B13)^3+'Comm V(x)'!$T4*('Comm V(x)'!B13)^2+'Comm V(x)'!$U4*('Comm V(x)'!B13)+'Comm V(x)'!$V4))</f>
        <v>1.2332626728E-2</v>
      </c>
      <c r="D4">
        <f>IF('Comm V(x)'!C13&lt;'Comm V(x)'!$C4,0,IF('Comm V(x)'!C13&gt;'Comm V(x)'!$D4,1,'Comm V(x)'!$Q4*('Comm V(x)'!C13)^5+'Comm V(x)'!$R4*('Comm V(x)'!C13)^4+'Comm V(x)'!$S4*('Comm V(x)'!C13)^3+'Comm V(x)'!$T4*('Comm V(x)'!C13)^2+'Comm V(x)'!$U4*('Comm V(x)'!C13)+'Comm V(x)'!$V4))</f>
        <v>1.2332626728E-2</v>
      </c>
      <c r="E4">
        <f>IF('Comm V(x)'!D13&lt;'Comm V(x)'!$C4,0,IF('Comm V(x)'!D13&gt;'Comm V(x)'!$D4,1,'Comm V(x)'!$Q4*('Comm V(x)'!D13)^5+'Comm V(x)'!$R4*('Comm V(x)'!D13)^4+'Comm V(x)'!$S4*('Comm V(x)'!D13)^3+'Comm V(x)'!$T4*('Comm V(x)'!D13)^2+'Comm V(x)'!$U4*('Comm V(x)'!D13)+'Comm V(x)'!$V4))</f>
        <v>0.98771606400000023</v>
      </c>
      <c r="F4">
        <f>IF('Comm V(x)'!E13&lt;'Comm V(x)'!$C4,0,IF('Comm V(x)'!E13&gt;'Comm V(x)'!$D4,1,'Comm V(x)'!$Q4*('Comm V(x)'!E13)^5+'Comm V(x)'!$R4*('Comm V(x)'!E13)^4+'Comm V(x)'!$S4*('Comm V(x)'!E13)^3+'Comm V(x)'!$T4*('Comm V(x)'!E13)^2+'Comm V(x)'!$U4*('Comm V(x)'!E13)+'Comm V(x)'!$V4))</f>
        <v>0.41027726399999997</v>
      </c>
      <c r="G4">
        <f>IF('Comm V(x)'!F13&lt;'Comm V(x)'!$C4,0,IF('Comm V(x)'!F13&gt;'Comm V(x)'!$D4,1,'Comm V(x)'!$Q4*('Comm V(x)'!F13)^5+'Comm V(x)'!$R4*('Comm V(x)'!F13)^4+'Comm V(x)'!$S4*('Comm V(x)'!F13)^3+'Comm V(x)'!$T4*('Comm V(x)'!F13)^2+'Comm V(x)'!$U4*('Comm V(x)'!F13)+'Comm V(x)'!$V4))</f>
        <v>4.8651133632E-2</v>
      </c>
      <c r="H4">
        <f>IF('Comm V(x)'!G13&lt;'Comm V(x)'!$C4,0,IF('Comm V(x)'!G13&gt;'Comm V(x)'!$D4,1,'Comm V(x)'!$Q4*('Comm V(x)'!G13)^5+'Comm V(x)'!$R4*('Comm V(x)'!G13)^4+'Comm V(x)'!$S4*('Comm V(x)'!G13)^3+'Comm V(x)'!$T4*('Comm V(x)'!G13)^2+'Comm V(x)'!$U4*('Comm V(x)'!G13)+'Comm V(x)'!$V4))</f>
        <v>1.2332626728E-2</v>
      </c>
      <c r="I4">
        <f>IF('Comm V(x)'!H13&lt;'Comm V(x)'!$C4,0,IF('Comm V(x)'!H13&gt;'Comm V(x)'!$D4,1,'Comm V(x)'!$Q4*('Comm V(x)'!H13)^5+'Comm V(x)'!$R4*('Comm V(x)'!H13)^4+'Comm V(x)'!$S4*('Comm V(x)'!H13)^3+'Comm V(x)'!$T4*('Comm V(x)'!H13)^2+'Comm V(x)'!$U4*('Comm V(x)'!H13)+'Comm V(x)'!$V4))</f>
        <v>1.9561349336630245E-3</v>
      </c>
      <c r="J4">
        <f>IF('Comm V(x)'!I13&lt;'Comm V(x)'!$C4,0,IF('Comm V(x)'!I13&gt;'Comm V(x)'!$D4,1,'Comm V(x)'!$Q4*('Comm V(x)'!I13)^5+'Comm V(x)'!$R4*('Comm V(x)'!I13)^4+'Comm V(x)'!$S4*('Comm V(x)'!I13)^3+'Comm V(x)'!$T4*('Comm V(x)'!I13)^2+'Comm V(x)'!$U4*('Comm V(x)'!I13)+'Comm V(x)'!$V4))</f>
        <v>0.11828184</v>
      </c>
      <c r="K4">
        <f>IF('Comm V(x)'!J13&lt;'Comm V(x)'!$C4,0,IF('Comm V(x)'!J13&gt;'Comm V(x)'!$D4,1,'Comm V(x)'!$Q4*('Comm V(x)'!J13)^5+'Comm V(x)'!$R4*('Comm V(x)'!J13)^4+'Comm V(x)'!$S4*('Comm V(x)'!J13)^3+'Comm V(x)'!$T4*('Comm V(x)'!J13)^2+'Comm V(x)'!$U4*('Comm V(x)'!J13)+'Comm V(x)'!$V4))</f>
        <v>9.2601426614999996E-3</v>
      </c>
    </row>
    <row r="5" spans="1:26" x14ac:dyDescent="0.3">
      <c r="A5" t="str">
        <f>'Comm V(x)'!A5</f>
        <v>Receiver Sensitivity</v>
      </c>
      <c r="B5">
        <f>'Comm V(x)'!B5</f>
        <v>0.15</v>
      </c>
      <c r="C5">
        <f>IF('Comm V(x)'!B14&lt;'Comm V(x)'!$C5,1,IF('Comm V(x)'!B14&gt;'Comm V(x)'!$D5,0,'Comm V(x)'!$Q5*('Comm V(x)'!B14)^5+'Comm V(x)'!$R5*('Comm V(x)'!B14)^4+'Comm V(x)'!$S5*('Comm V(x)'!B14)^3+'Comm V(x)'!$T5*('Comm V(x)'!B14)^2+'Comm V(x)'!$U5*('Comm V(x)'!B14)+'Comm V(x)'!$V5))</f>
        <v>0.30000000000000027</v>
      </c>
      <c r="D5">
        <f>IF('Comm V(x)'!C14&lt;'Comm V(x)'!$C5,1,IF('Comm V(x)'!C14&gt;'Comm V(x)'!$D5,0,'Comm V(x)'!$Q5*('Comm V(x)'!C14)^5+'Comm V(x)'!$R5*('Comm V(x)'!C14)^4+'Comm V(x)'!$S5*('Comm V(x)'!C14)^3+'Comm V(x)'!$T5*('Comm V(x)'!C14)^2+'Comm V(x)'!$U5*('Comm V(x)'!C14)+'Comm V(x)'!$V5))</f>
        <v>0.30000000000000027</v>
      </c>
      <c r="E5">
        <f>IF('Comm V(x)'!D14&lt;'Comm V(x)'!$C5,1,IF('Comm V(x)'!D14&gt;'Comm V(x)'!$D5,0,'Comm V(x)'!$Q5*('Comm V(x)'!D14)^5+'Comm V(x)'!$R5*('Comm V(x)'!D14)^4+'Comm V(x)'!$S5*('Comm V(x)'!D14)^3+'Comm V(x)'!$T5*('Comm V(x)'!D14)^2+'Comm V(x)'!$U5*('Comm V(x)'!D14)+'Comm V(x)'!$V5))</f>
        <v>0.98750000000000027</v>
      </c>
      <c r="F5">
        <f>IF('Comm V(x)'!E14&lt;'Comm V(x)'!$C5,1,IF('Comm V(x)'!E14&gt;'Comm V(x)'!$D5,0,'Comm V(x)'!$Q5*('Comm V(x)'!E14)^5+'Comm V(x)'!$R5*('Comm V(x)'!E14)^4+'Comm V(x)'!$S5*('Comm V(x)'!E14)^3+'Comm V(x)'!$T5*('Comm V(x)'!E14)^2+'Comm V(x)'!$U5*('Comm V(x)'!E14)+'Comm V(x)'!$V5))</f>
        <v>0.98750000000000027</v>
      </c>
      <c r="G5">
        <f>IF('Comm V(x)'!F14&lt;'Comm V(x)'!$C5,1,IF('Comm V(x)'!F14&gt;'Comm V(x)'!$D5,0,'Comm V(x)'!$Q5*('Comm V(x)'!F14)^5+'Comm V(x)'!$R5*('Comm V(x)'!F14)^4+'Comm V(x)'!$S5*('Comm V(x)'!F14)^3+'Comm V(x)'!$T5*('Comm V(x)'!F14)^2+'Comm V(x)'!$U5*('Comm V(x)'!F14)+'Comm V(x)'!$V5))</f>
        <v>0.5</v>
      </c>
      <c r="H5">
        <f>IF('Comm V(x)'!G14&lt;'Comm V(x)'!$C5,1,IF('Comm V(x)'!G14&gt;'Comm V(x)'!$D5,0,'Comm V(x)'!$Q5*('Comm V(x)'!G14)^5+'Comm V(x)'!$R5*('Comm V(x)'!G14)^4+'Comm V(x)'!$S5*('Comm V(x)'!G14)^3+'Comm V(x)'!$T5*('Comm V(x)'!G14)^2+'Comm V(x)'!$U5*('Comm V(x)'!G14)+'Comm V(x)'!$V5))</f>
        <v>0.60000000000000009</v>
      </c>
      <c r="I5">
        <f>IF('Comm V(x)'!H14&lt;'Comm V(x)'!$C5,1,IF('Comm V(x)'!H14&gt;'Comm V(x)'!$D5,0,'Comm V(x)'!$Q5*('Comm V(x)'!H14)^5+'Comm V(x)'!$R5*('Comm V(x)'!H14)^4+'Comm V(x)'!$S5*('Comm V(x)'!H14)^3+'Comm V(x)'!$T5*('Comm V(x)'!H14)^2+'Comm V(x)'!$U5*('Comm V(x)'!H14)+'Comm V(x)'!$V5))</f>
        <v>0.20000000000000018</v>
      </c>
      <c r="J5">
        <f>IF('Comm V(x)'!I14&lt;'Comm V(x)'!$C5,1,IF('Comm V(x)'!I14&gt;'Comm V(x)'!$D5,0,'Comm V(x)'!$Q5*('Comm V(x)'!I14)^5+'Comm V(x)'!$R5*('Comm V(x)'!I14)^4+'Comm V(x)'!$S5*('Comm V(x)'!I14)^3+'Comm V(x)'!$T5*('Comm V(x)'!I14)^2+'Comm V(x)'!$U5*('Comm V(x)'!I14)+'Comm V(x)'!$V5))</f>
        <v>0.95000000000000018</v>
      </c>
      <c r="K5">
        <f>IF('Comm V(x)'!J14&lt;'Comm V(x)'!$C5,1,IF('Comm V(x)'!J14&gt;'Comm V(x)'!$D5,0,'Comm V(x)'!$Q5*('Comm V(x)'!J14)^5+'Comm V(x)'!$R5*('Comm V(x)'!J14)^4+'Comm V(x)'!$S5*('Comm V(x)'!J14)^3+'Comm V(x)'!$T5*('Comm V(x)'!J14)^2+'Comm V(x)'!$U5*('Comm V(x)'!J14)+'Comm V(x)'!$V5))</f>
        <v>0.25</v>
      </c>
    </row>
    <row r="6" spans="1:26" x14ac:dyDescent="0.3">
      <c r="A6" t="str">
        <f>'Comm V(x)'!A6</f>
        <v>Mesh</v>
      </c>
      <c r="B6">
        <f>'Comm V(x)'!B6</f>
        <v>0.1</v>
      </c>
      <c r="C6">
        <f>VLOOKUP('Comm V(x)'!B15,'Comm V(x)'!$Z$1:$AA$3,2,FALSE)</f>
        <v>1</v>
      </c>
      <c r="D6">
        <f>VLOOKUP('Comm V(x)'!C15,'Comm V(x)'!$Z$1:$AA$3,2,FALSE)</f>
        <v>1</v>
      </c>
      <c r="E6">
        <f>VLOOKUP('Comm V(x)'!D15,'Comm V(x)'!$Z$1:$AA$3,2,FALSE)</f>
        <v>1</v>
      </c>
      <c r="F6">
        <f>VLOOKUP('Comm V(x)'!E15,'Comm V(x)'!$Z$1:$AA$3,2,FALSE)</f>
        <v>1</v>
      </c>
      <c r="G6">
        <f>VLOOKUP('Comm V(x)'!F15,'Comm V(x)'!$Z$1:$AA$3,2,FALSE)</f>
        <v>1</v>
      </c>
      <c r="H6">
        <f>VLOOKUP('Comm V(x)'!G15,'Comm V(x)'!$Z$1:$AA$3,2,FALSE)</f>
        <v>1</v>
      </c>
      <c r="I6">
        <f>VLOOKUP('Comm V(x)'!H15,'Comm V(x)'!$Z$1:$AA$3,2,FALSE)</f>
        <v>1</v>
      </c>
      <c r="J6">
        <f>VLOOKUP('Comm V(x)'!I15,'Comm V(x)'!$Z$1:$AA$3,2,FALSE)</f>
        <v>1</v>
      </c>
      <c r="K6">
        <f>VLOOKUP('Comm V(x)'!J15,'Comm V(x)'!$Z$1:$AA$3,2,FALSE)</f>
        <v>0</v>
      </c>
    </row>
    <row r="7" spans="1:26" x14ac:dyDescent="0.3">
      <c r="A7" t="str">
        <f>'Comm V(x)'!A7</f>
        <v>Data Type</v>
      </c>
      <c r="B7">
        <f>'Comm V(x)'!B7</f>
        <v>0.1</v>
      </c>
      <c r="C7">
        <f>VLOOKUP('Comm V(x)'!B16,'Comm V(x)'!$Z$6:$AA$8,2,FALSE)</f>
        <v>0.8</v>
      </c>
      <c r="D7">
        <f>VLOOKUP('Comm V(x)'!C16,'Comm V(x)'!$Z$6:$AA$8,2,FALSE)</f>
        <v>0.8</v>
      </c>
      <c r="E7">
        <f>VLOOKUP('Comm V(x)'!D16,'Comm V(x)'!$Z$6:$AA$8,2,FALSE)</f>
        <v>0.8</v>
      </c>
      <c r="F7">
        <f>VLOOKUP('Comm V(x)'!E16,'Comm V(x)'!$Z$6:$AA$8,2,FALSE)</f>
        <v>0.8</v>
      </c>
      <c r="G7">
        <f>VLOOKUP('Comm V(x)'!F16,'Comm V(x)'!$Z$6:$AA$8,2,FALSE)</f>
        <v>1</v>
      </c>
      <c r="H7">
        <f>VLOOKUP('Comm V(x)'!G16,'Comm V(x)'!$Z$6:$AA$8,2,FALSE)</f>
        <v>0.8</v>
      </c>
      <c r="I7">
        <f>VLOOKUP('Comm V(x)'!H16,'Comm V(x)'!$Z$6:$AA$8,2,FALSE)</f>
        <v>0.8</v>
      </c>
      <c r="J7">
        <f>VLOOKUP('Comm V(x)'!I16,'Comm V(x)'!$Z$6:$AA$8,2,FALSE)</f>
        <v>1</v>
      </c>
      <c r="K7">
        <f>VLOOKUP('Comm V(x)'!J16,'Comm V(x)'!$Z$6:$AA$8,2,FALSE)</f>
        <v>0.8</v>
      </c>
    </row>
    <row r="8" spans="1:26" x14ac:dyDescent="0.3">
      <c r="A8" t="str">
        <f>'Comm V(x)'!A8</f>
        <v>Technology Maturity Level</v>
      </c>
      <c r="B8">
        <f>'Comm V(x)'!B8</f>
        <v>0.1</v>
      </c>
      <c r="C8">
        <f>IF('Comm V(x)'!B17&lt;'Comm V(x)'!$C8,0,IF('Comm V(x)'!B17&gt;'Comm V(x)'!$D8,1,'Comm V(x)'!$Q8*('Comm V(x)'!B17)^5+'Comm V(x)'!$R8*('Comm V(x)'!B17)^4+'Comm V(x)'!$S8*('Comm V(x)'!B17)^3+'Comm V(x)'!$T8*('Comm V(x)'!B17)^2+'Comm V(x)'!$U8*('Comm V(x)'!B17)+'Comm V(x)'!$V8))</f>
        <v>0.57150000000000001</v>
      </c>
      <c r="D8">
        <f>IF('Comm V(x)'!C17&lt;'Comm V(x)'!$C8,0,IF('Comm V(x)'!C17&gt;'Comm V(x)'!$D8,1,'Comm V(x)'!$Q8*('Comm V(x)'!C17)^5+'Comm V(x)'!$R8*('Comm V(x)'!C17)^4+'Comm V(x)'!$S8*('Comm V(x)'!C17)^3+'Comm V(x)'!$T8*('Comm V(x)'!C17)^2+'Comm V(x)'!$U8*('Comm V(x)'!C17)+'Comm V(x)'!$V8))</f>
        <v>0.57150000000000001</v>
      </c>
      <c r="E8">
        <f>IF('Comm V(x)'!D17&lt;'Comm V(x)'!$C8,0,IF('Comm V(x)'!D17&gt;'Comm V(x)'!$D8,1,'Comm V(x)'!$Q8*('Comm V(x)'!D17)^5+'Comm V(x)'!$R8*('Comm V(x)'!D17)^4+'Comm V(x)'!$S8*('Comm V(x)'!D17)^3+'Comm V(x)'!$T8*('Comm V(x)'!D17)^2+'Comm V(x)'!$U8*('Comm V(x)'!D17)+'Comm V(x)'!$V8))</f>
        <v>0.71439999999999992</v>
      </c>
      <c r="F8">
        <f>IF('Comm V(x)'!E17&lt;'Comm V(x)'!$C8,0,IF('Comm V(x)'!E17&gt;'Comm V(x)'!$D8,1,'Comm V(x)'!$Q8*('Comm V(x)'!E17)^5+'Comm V(x)'!$R8*('Comm V(x)'!E17)^4+'Comm V(x)'!$S8*('Comm V(x)'!E17)^3+'Comm V(x)'!$T8*('Comm V(x)'!E17)^2+'Comm V(x)'!$U8*('Comm V(x)'!E17)+'Comm V(x)'!$V8))</f>
        <v>0.71439999999999992</v>
      </c>
      <c r="G8">
        <f>IF('Comm V(x)'!F17&lt;'Comm V(x)'!$C8,0,IF('Comm V(x)'!F17&gt;'Comm V(x)'!$D8,1,'Comm V(x)'!$Q8*('Comm V(x)'!F17)^5+'Comm V(x)'!$R8*('Comm V(x)'!F17)^4+'Comm V(x)'!$S8*('Comm V(x)'!F17)^3+'Comm V(x)'!$T8*('Comm V(x)'!F17)^2+'Comm V(x)'!$U8*('Comm V(x)'!F17)+'Comm V(x)'!$V8))</f>
        <v>0.85729999999999995</v>
      </c>
      <c r="H8">
        <f>IF('Comm V(x)'!G17&lt;'Comm V(x)'!$C8,0,IF('Comm V(x)'!G17&gt;'Comm V(x)'!$D8,1,'Comm V(x)'!$Q8*('Comm V(x)'!G17)^5+'Comm V(x)'!$R8*('Comm V(x)'!G17)^4+'Comm V(x)'!$S8*('Comm V(x)'!G17)^3+'Comm V(x)'!$T8*('Comm V(x)'!G17)^2+'Comm V(x)'!$U8*('Comm V(x)'!G17)+'Comm V(x)'!$V8))</f>
        <v>0.42859999999999998</v>
      </c>
      <c r="I8">
        <f>IF('Comm V(x)'!H17&lt;'Comm V(x)'!$C8,0,IF('Comm V(x)'!H17&gt;'Comm V(x)'!$D8,1,'Comm V(x)'!$Q8*('Comm V(x)'!H17)^5+'Comm V(x)'!$R8*('Comm V(x)'!H17)^4+'Comm V(x)'!$S8*('Comm V(x)'!H17)^3+'Comm V(x)'!$T8*('Comm V(x)'!H17)^2+'Comm V(x)'!$U8*('Comm V(x)'!H17)+'Comm V(x)'!$V8))</f>
        <v>0.85729999999999995</v>
      </c>
      <c r="J8">
        <f>IF('Comm V(x)'!I17&lt;'Comm V(x)'!$C8,0,IF('Comm V(x)'!I17&gt;'Comm V(x)'!$D8,1,'Comm V(x)'!$Q8*('Comm V(x)'!I17)^5+'Comm V(x)'!$R8*('Comm V(x)'!I17)^4+'Comm V(x)'!$S8*('Comm V(x)'!I17)^3+'Comm V(x)'!$T8*('Comm V(x)'!I17)^2+'Comm V(x)'!$U8*('Comm V(x)'!I17)+'Comm V(x)'!$V8))</f>
        <v>0.71439999999999992</v>
      </c>
      <c r="K8">
        <f>IF('Comm V(x)'!J17&lt;'Comm V(x)'!$C8,0,IF('Comm V(x)'!J17&gt;'Comm V(x)'!$D8,1,'Comm V(x)'!$Q8*('Comm V(x)'!J17)^5+'Comm V(x)'!$R8*('Comm V(x)'!J17)^4+'Comm V(x)'!$S8*('Comm V(x)'!J17)^3+'Comm V(x)'!$T8*('Comm V(x)'!J17)^2+'Comm V(x)'!$U8*('Comm V(x)'!J17)+'Comm V(x)'!$V8))</f>
        <v>1.0002</v>
      </c>
    </row>
    <row r="10" spans="1:26" x14ac:dyDescent="0.3">
      <c r="B10">
        <v>0</v>
      </c>
      <c r="C10" s="19">
        <f>'Comm V(x)'!B18</f>
        <v>3640</v>
      </c>
      <c r="D10" s="19">
        <f>'Comm V(x)'!C18</f>
        <v>7142</v>
      </c>
      <c r="E10" s="19">
        <f>'Comm V(x)'!D18</f>
        <v>1378914</v>
      </c>
      <c r="F10" s="19">
        <f>'Comm V(x)'!E18</f>
        <v>681332</v>
      </c>
      <c r="G10" s="19">
        <f>'Comm V(x)'!F18</f>
        <v>50000</v>
      </c>
      <c r="H10" s="19">
        <f>'Comm V(x)'!G18</f>
        <v>10000</v>
      </c>
      <c r="I10" s="19">
        <f>'Comm V(x)'!H18</f>
        <v>25000</v>
      </c>
      <c r="J10" s="19">
        <f>'Comm V(x)'!I18</f>
        <v>25000</v>
      </c>
      <c r="K10" s="19">
        <f>'Comm V(x)'!J18</f>
        <v>5000</v>
      </c>
      <c r="L10" s="6"/>
      <c r="M10" s="6"/>
      <c r="N10" s="6"/>
      <c r="O10" s="6"/>
      <c r="Q10" s="6"/>
      <c r="R10" s="6"/>
      <c r="S10" s="6"/>
      <c r="W10" s="6"/>
      <c r="X10" s="6"/>
      <c r="Y10" s="6"/>
      <c r="Z10" s="6"/>
    </row>
  </sheetData>
  <conditionalFormatting sqref="C1:K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K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K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7" sqref="P7"/>
    </sheetView>
  </sheetViews>
  <sheetFormatPr defaultRowHeight="15" x14ac:dyDescent="0.25"/>
  <cols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218</v>
      </c>
      <c r="B1" s="30" t="s">
        <v>219</v>
      </c>
      <c r="P1" t="s">
        <v>222</v>
      </c>
      <c r="Q1" t="s">
        <v>223</v>
      </c>
    </row>
    <row r="2" spans="1:20" x14ac:dyDescent="0.25">
      <c r="A2">
        <v>0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v>2.5</v>
      </c>
      <c r="B3">
        <v>0.2</v>
      </c>
      <c r="P3" s="28">
        <f t="shared" ref="P3:P12" si="0">(1-EXP($B$14*(A3-MIN($A$2:$A$12))^$B$15))/$B$16</f>
        <v>0.2044150281960754</v>
      </c>
      <c r="Q3" s="28">
        <f t="shared" ref="Q3:Q12" si="1">(P3-B3)^2</f>
        <v>1.9492473972140743E-5</v>
      </c>
      <c r="S3" t="s">
        <v>225</v>
      </c>
      <c r="T3" t="s">
        <v>226</v>
      </c>
    </row>
    <row r="4" spans="1:20" x14ac:dyDescent="0.25">
      <c r="A4">
        <v>5</v>
      </c>
      <c r="B4">
        <v>0.4</v>
      </c>
      <c r="P4" s="28">
        <f t="shared" si="0"/>
        <v>0.40649570684985431</v>
      </c>
      <c r="Q4" s="28">
        <f t="shared" si="1"/>
        <v>4.2194207479243919E-5</v>
      </c>
      <c r="S4">
        <f>MIN(A2:A12)</f>
        <v>0</v>
      </c>
      <c r="T4">
        <f>IF(S4&lt;=MIN($A$2:$A$12),0,IF(S4&gt;=MAX($A$2:$A$12),1,(1/$B$16)*(1-EXP($B$14*(S4-MIN($A$2:$A$12))^$B$15))))</f>
        <v>0</v>
      </c>
    </row>
    <row r="5" spans="1:20" x14ac:dyDescent="0.25">
      <c r="A5">
        <v>6</v>
      </c>
      <c r="B5">
        <v>0.5</v>
      </c>
      <c r="P5" s="28">
        <f t="shared" si="0"/>
        <v>0.47844512842984005</v>
      </c>
      <c r="Q5" s="28">
        <f t="shared" si="1"/>
        <v>4.646124884060897E-4</v>
      </c>
      <c r="S5">
        <f>S4+(MAX($A$2:$A$12)-$S$4)/50</f>
        <v>0.4</v>
      </c>
      <c r="T5">
        <f t="shared" ref="T5:T68" si="2">IF(S5&lt;=MIN($A$2:$A$12),0,IF(S5&gt;=MAX($A$2:$A$12),1,(1/$B$16)*(1-EXP($B$14*(S5-MIN($A$2:$A$12))^$B$15))))</f>
        <v>2.6484270127604192E-2</v>
      </c>
    </row>
    <row r="6" spans="1:20" x14ac:dyDescent="0.25">
      <c r="A6">
        <v>8</v>
      </c>
      <c r="B6">
        <v>0.6</v>
      </c>
      <c r="P6" s="28">
        <f t="shared" si="0"/>
        <v>0.6055157403706809</v>
      </c>
      <c r="Q6" s="28">
        <f t="shared" si="1"/>
        <v>3.0423391836759311E-5</v>
      </c>
      <c r="S6">
        <f t="shared" ref="S6:S69" si="3">S5+(MAX($A$2:$A$12)-$S$4)/50</f>
        <v>0.8</v>
      </c>
      <c r="T6">
        <f t="shared" si="2"/>
        <v>5.8430613374086025E-2</v>
      </c>
    </row>
    <row r="7" spans="1:20" x14ac:dyDescent="0.25">
      <c r="A7">
        <v>10</v>
      </c>
      <c r="B7">
        <v>0.7</v>
      </c>
      <c r="P7" s="28">
        <f t="shared" si="0"/>
        <v>0.71100075091316339</v>
      </c>
      <c r="Q7" s="28">
        <f t="shared" si="1"/>
        <v>1.210165206534662E-4</v>
      </c>
      <c r="S7">
        <f t="shared" si="3"/>
        <v>1.2000000000000002</v>
      </c>
      <c r="T7">
        <f t="shared" si="2"/>
        <v>9.2143126513379123E-2</v>
      </c>
    </row>
    <row r="8" spans="1:20" x14ac:dyDescent="0.25">
      <c r="A8">
        <v>12.5</v>
      </c>
      <c r="B8">
        <v>0.8</v>
      </c>
      <c r="P8" s="28">
        <f t="shared" si="0"/>
        <v>0.81590419727056596</v>
      </c>
      <c r="Q8" s="28">
        <f t="shared" si="1"/>
        <v>2.5294349082107621E-4</v>
      </c>
      <c r="S8">
        <f t="shared" si="3"/>
        <v>1.6</v>
      </c>
      <c r="T8">
        <f t="shared" si="2"/>
        <v>0.12660290013618147</v>
      </c>
    </row>
    <row r="9" spans="1:20" x14ac:dyDescent="0.25">
      <c r="A9">
        <v>13</v>
      </c>
      <c r="B9">
        <v>0.85</v>
      </c>
      <c r="P9" s="28">
        <f t="shared" si="0"/>
        <v>0.83370879612953142</v>
      </c>
      <c r="Q9" s="28">
        <f t="shared" si="1"/>
        <v>2.6540332354916987E-4</v>
      </c>
      <c r="S9">
        <f t="shared" si="3"/>
        <v>2</v>
      </c>
      <c r="T9">
        <f t="shared" si="2"/>
        <v>0.16127481087321785</v>
      </c>
    </row>
    <row r="10" spans="1:20" x14ac:dyDescent="0.25">
      <c r="A10">
        <v>15</v>
      </c>
      <c r="B10">
        <v>0.9</v>
      </c>
      <c r="P10" s="28">
        <f t="shared" si="0"/>
        <v>0.89575176642656651</v>
      </c>
      <c r="Q10" s="28">
        <f t="shared" si="1"/>
        <v>1.8047488494447677E-5</v>
      </c>
      <c r="S10">
        <f t="shared" si="3"/>
        <v>2.4</v>
      </c>
      <c r="T10">
        <f t="shared" si="2"/>
        <v>0.19582481239111554</v>
      </c>
    </row>
    <row r="11" spans="1:20" x14ac:dyDescent="0.25">
      <c r="A11">
        <v>17</v>
      </c>
      <c r="B11">
        <v>0.95</v>
      </c>
      <c r="P11" s="28">
        <f t="shared" si="0"/>
        <v>0.94502808143760453</v>
      </c>
      <c r="Q11" s="28">
        <f t="shared" si="1"/>
        <v>2.4719974191092215E-5</v>
      </c>
      <c r="S11">
        <f t="shared" si="3"/>
        <v>2.8</v>
      </c>
      <c r="T11">
        <f t="shared" si="2"/>
        <v>0.23002605109967983</v>
      </c>
    </row>
    <row r="12" spans="1:20" x14ac:dyDescent="0.25">
      <c r="A12">
        <v>20</v>
      </c>
      <c r="B12">
        <v>1</v>
      </c>
      <c r="P12" s="28">
        <f t="shared" si="0"/>
        <v>1</v>
      </c>
      <c r="Q12" s="28">
        <f t="shared" si="1"/>
        <v>0</v>
      </c>
      <c r="S12">
        <f t="shared" si="3"/>
        <v>3.1999999999999997</v>
      </c>
      <c r="T12">
        <f t="shared" si="2"/>
        <v>0.26371717426676444</v>
      </c>
    </row>
    <row r="13" spans="1:20" x14ac:dyDescent="0.25">
      <c r="S13">
        <f t="shared" si="3"/>
        <v>3.5999999999999996</v>
      </c>
      <c r="T13">
        <f t="shared" si="2"/>
        <v>0.29678048185233308</v>
      </c>
    </row>
    <row r="14" spans="1:20" x14ac:dyDescent="0.25">
      <c r="A14" t="s">
        <v>220</v>
      </c>
      <c r="B14" s="29">
        <v>-6.9797800277252561E-2</v>
      </c>
      <c r="O14" t="s">
        <v>224</v>
      </c>
      <c r="Q14" s="28">
        <f>SUM(Q2:Q12)</f>
        <v>1.238853359403486E-3</v>
      </c>
      <c r="S14">
        <f t="shared" si="3"/>
        <v>3.9999999999999996</v>
      </c>
      <c r="T14">
        <f t="shared" si="2"/>
        <v>0.32912914733216381</v>
      </c>
    </row>
    <row r="15" spans="1:20" x14ac:dyDescent="0.25">
      <c r="A15" t="s">
        <v>228</v>
      </c>
      <c r="B15" s="28">
        <v>1.1629435152103915</v>
      </c>
      <c r="S15">
        <f t="shared" si="3"/>
        <v>4.3999999999999995</v>
      </c>
      <c r="T15">
        <f t="shared" si="2"/>
        <v>0.36069912861125714</v>
      </c>
    </row>
    <row r="16" spans="1:20" x14ac:dyDescent="0.25">
      <c r="A16" t="s">
        <v>221</v>
      </c>
      <c r="B16" s="28">
        <f>1-EXP($B$14*(MAX($A$2:$A$12)-MIN($A$2:$A$12))^$B$15)</f>
        <v>0.89714101010587421</v>
      </c>
      <c r="S16">
        <f t="shared" si="3"/>
        <v>4.8</v>
      </c>
      <c r="T16">
        <f t="shared" si="2"/>
        <v>0.39144373294090962</v>
      </c>
    </row>
    <row r="17" spans="19:20" x14ac:dyDescent="0.25">
      <c r="S17">
        <f t="shared" si="3"/>
        <v>5.2</v>
      </c>
      <c r="T17">
        <f t="shared" si="2"/>
        <v>0.42132979102843737</v>
      </c>
    </row>
    <row r="18" spans="19:20" x14ac:dyDescent="0.25">
      <c r="S18">
        <f t="shared" si="3"/>
        <v>5.6000000000000005</v>
      </c>
      <c r="T18">
        <f t="shared" si="2"/>
        <v>0.45033486191869521</v>
      </c>
    </row>
    <row r="19" spans="19:20" x14ac:dyDescent="0.25">
      <c r="S19">
        <f t="shared" si="3"/>
        <v>6.0000000000000009</v>
      </c>
      <c r="T19">
        <f t="shared" si="2"/>
        <v>0.47844512842984022</v>
      </c>
    </row>
    <row r="20" spans="19:20" x14ac:dyDescent="0.25">
      <c r="S20">
        <f t="shared" si="3"/>
        <v>6.4000000000000012</v>
      </c>
      <c r="T20">
        <f t="shared" si="2"/>
        <v>0.50565377284443669</v>
      </c>
    </row>
    <row r="21" spans="19:20" x14ac:dyDescent="0.25">
      <c r="S21">
        <f t="shared" si="3"/>
        <v>6.8000000000000016</v>
      </c>
      <c r="T21">
        <f t="shared" si="2"/>
        <v>0.53195969734345749</v>
      </c>
    </row>
    <row r="22" spans="19:20" x14ac:dyDescent="0.25">
      <c r="S22">
        <f t="shared" si="3"/>
        <v>7.200000000000002</v>
      </c>
      <c r="T22">
        <f t="shared" si="2"/>
        <v>0.5573664987120448</v>
      </c>
    </row>
    <row r="23" spans="19:20" x14ac:dyDescent="0.25">
      <c r="S23">
        <f t="shared" si="3"/>
        <v>7.6000000000000023</v>
      </c>
      <c r="T23">
        <f t="shared" si="2"/>
        <v>0.58188163503837287</v>
      </c>
    </row>
    <row r="24" spans="19:20" x14ac:dyDescent="0.25">
      <c r="S24">
        <f t="shared" si="3"/>
        <v>8.0000000000000018</v>
      </c>
      <c r="T24">
        <f t="shared" si="2"/>
        <v>0.60551574037068123</v>
      </c>
    </row>
    <row r="25" spans="19:20" x14ac:dyDescent="0.25">
      <c r="S25">
        <f t="shared" si="3"/>
        <v>8.4000000000000021</v>
      </c>
      <c r="T25">
        <f t="shared" si="2"/>
        <v>0.62828205545205296</v>
      </c>
    </row>
    <row r="26" spans="19:20" x14ac:dyDescent="0.25">
      <c r="S26">
        <f t="shared" si="3"/>
        <v>8.8000000000000025</v>
      </c>
      <c r="T26">
        <f t="shared" si="2"/>
        <v>0.65019595096104221</v>
      </c>
    </row>
    <row r="27" spans="19:20" x14ac:dyDescent="0.25">
      <c r="S27">
        <f t="shared" si="3"/>
        <v>9.2000000000000028</v>
      </c>
      <c r="T27">
        <f t="shared" si="2"/>
        <v>0.67127452549745315</v>
      </c>
    </row>
    <row r="28" spans="19:20" x14ac:dyDescent="0.25">
      <c r="S28">
        <f t="shared" si="3"/>
        <v>9.6000000000000032</v>
      </c>
      <c r="T28">
        <f t="shared" si="2"/>
        <v>0.6915362647015787</v>
      </c>
    </row>
    <row r="29" spans="19:20" x14ac:dyDescent="0.25">
      <c r="S29">
        <f t="shared" si="3"/>
        <v>10.000000000000004</v>
      </c>
      <c r="T29">
        <f t="shared" si="2"/>
        <v>0.71100075091316339</v>
      </c>
    </row>
    <row r="30" spans="19:20" x14ac:dyDescent="0.25">
      <c r="S30">
        <f t="shared" si="3"/>
        <v>10.400000000000004</v>
      </c>
      <c r="T30">
        <f t="shared" si="2"/>
        <v>0.72968841500907988</v>
      </c>
    </row>
    <row r="31" spans="19:20" x14ac:dyDescent="0.25">
      <c r="S31">
        <f t="shared" si="3"/>
        <v>10.800000000000004</v>
      </c>
      <c r="T31">
        <f t="shared" si="2"/>
        <v>0.74762032373637732</v>
      </c>
    </row>
    <row r="32" spans="19:20" x14ac:dyDescent="0.25">
      <c r="S32">
        <f t="shared" si="3"/>
        <v>11.200000000000005</v>
      </c>
      <c r="T32">
        <f t="shared" si="2"/>
        <v>0.76481799713604315</v>
      </c>
    </row>
    <row r="33" spans="19:20" x14ac:dyDescent="0.25">
      <c r="S33">
        <f t="shared" si="3"/>
        <v>11.600000000000005</v>
      </c>
      <c r="T33">
        <f t="shared" si="2"/>
        <v>0.78130325164032877</v>
      </c>
    </row>
    <row r="34" spans="19:20" x14ac:dyDescent="0.25">
      <c r="S34">
        <f t="shared" si="3"/>
        <v>12.000000000000005</v>
      </c>
      <c r="T34">
        <f t="shared" si="2"/>
        <v>0.79709806519850435</v>
      </c>
    </row>
    <row r="35" spans="19:20" x14ac:dyDescent="0.25">
      <c r="S35">
        <f t="shared" si="3"/>
        <v>12.400000000000006</v>
      </c>
      <c r="T35">
        <f t="shared" si="2"/>
        <v>0.81222446139634352</v>
      </c>
    </row>
    <row r="36" spans="19:20" x14ac:dyDescent="0.25">
      <c r="S36">
        <f t="shared" si="3"/>
        <v>12.800000000000006</v>
      </c>
      <c r="T36">
        <f t="shared" si="2"/>
        <v>0.82670441002240336</v>
      </c>
    </row>
    <row r="37" spans="19:20" x14ac:dyDescent="0.25">
      <c r="S37">
        <f t="shared" si="3"/>
        <v>13.200000000000006</v>
      </c>
      <c r="T37">
        <f t="shared" si="2"/>
        <v>0.84055974192782656</v>
      </c>
    </row>
    <row r="38" spans="19:20" x14ac:dyDescent="0.25">
      <c r="S38">
        <f t="shared" si="3"/>
        <v>13.600000000000007</v>
      </c>
      <c r="T38">
        <f t="shared" si="2"/>
        <v>0.85381207634698619</v>
      </c>
    </row>
    <row r="39" spans="19:20" x14ac:dyDescent="0.25">
      <c r="S39">
        <f t="shared" si="3"/>
        <v>14.000000000000007</v>
      </c>
      <c r="T39">
        <f t="shared" si="2"/>
        <v>0.86648275910968575</v>
      </c>
    </row>
    <row r="40" spans="19:20" x14ac:dyDescent="0.25">
      <c r="S40">
        <f t="shared" si="3"/>
        <v>14.400000000000007</v>
      </c>
      <c r="T40">
        <f t="shared" si="2"/>
        <v>0.87859281039373427</v>
      </c>
    </row>
    <row r="41" spans="19:20" x14ac:dyDescent="0.25">
      <c r="S41">
        <f t="shared" si="3"/>
        <v>14.800000000000008</v>
      </c>
      <c r="T41">
        <f t="shared" si="2"/>
        <v>0.89016288084871498</v>
      </c>
    </row>
    <row r="42" spans="19:20" x14ac:dyDescent="0.25">
      <c r="S42">
        <f t="shared" si="3"/>
        <v>15.200000000000008</v>
      </c>
      <c r="T42">
        <f t="shared" si="2"/>
        <v>0.90121321507468855</v>
      </c>
    </row>
    <row r="43" spans="19:20" x14ac:dyDescent="0.25">
      <c r="S43">
        <f t="shared" si="3"/>
        <v>15.600000000000009</v>
      </c>
      <c r="T43">
        <f t="shared" si="2"/>
        <v>0.91176362156891622</v>
      </c>
    </row>
    <row r="44" spans="19:20" x14ac:dyDescent="0.25">
      <c r="S44">
        <f t="shared" si="3"/>
        <v>16.000000000000007</v>
      </c>
      <c r="T44">
        <f t="shared" si="2"/>
        <v>0.92183344836376191</v>
      </c>
    </row>
    <row r="45" spans="19:20" x14ac:dyDescent="0.25">
      <c r="S45">
        <f t="shared" si="3"/>
        <v>16.400000000000006</v>
      </c>
      <c r="T45">
        <f t="shared" si="2"/>
        <v>0.93144156367312692</v>
      </c>
    </row>
    <row r="46" spans="19:20" x14ac:dyDescent="0.25">
      <c r="S46">
        <f t="shared" si="3"/>
        <v>16.800000000000004</v>
      </c>
      <c r="T46">
        <f t="shared" si="2"/>
        <v>0.94060634094583617</v>
      </c>
    </row>
    <row r="47" spans="19:20" x14ac:dyDescent="0.25">
      <c r="S47">
        <f t="shared" si="3"/>
        <v>17.200000000000003</v>
      </c>
      <c r="T47">
        <f t="shared" si="2"/>
        <v>0.94934564779446906</v>
      </c>
    </row>
    <row r="48" spans="19:20" x14ac:dyDescent="0.25">
      <c r="S48">
        <f t="shared" si="3"/>
        <v>17.600000000000001</v>
      </c>
      <c r="T48">
        <f t="shared" si="2"/>
        <v>0.95767683832899431</v>
      </c>
    </row>
    <row r="49" spans="19:20" x14ac:dyDescent="0.25">
      <c r="S49">
        <f t="shared" si="3"/>
        <v>18</v>
      </c>
      <c r="T49">
        <f t="shared" si="2"/>
        <v>0.96561674847767842</v>
      </c>
    </row>
    <row r="50" spans="19:20" x14ac:dyDescent="0.25">
      <c r="S50">
        <f t="shared" si="3"/>
        <v>18.399999999999999</v>
      </c>
      <c r="T50">
        <f t="shared" si="2"/>
        <v>0.9731816939242085</v>
      </c>
    </row>
    <row r="51" spans="19:20" x14ac:dyDescent="0.25">
      <c r="S51">
        <f t="shared" si="3"/>
        <v>18.799999999999997</v>
      </c>
      <c r="T51">
        <f t="shared" si="2"/>
        <v>0.98038747033084084</v>
      </c>
    </row>
    <row r="52" spans="19:20" x14ac:dyDescent="0.25">
      <c r="S52">
        <f t="shared" si="3"/>
        <v>19.199999999999996</v>
      </c>
      <c r="T52">
        <f t="shared" si="2"/>
        <v>0.9872493555533981</v>
      </c>
    </row>
    <row r="53" spans="19:20" x14ac:dyDescent="0.25">
      <c r="S53">
        <f t="shared" si="3"/>
        <v>19.599999999999994</v>
      </c>
      <c r="T53">
        <f t="shared" si="2"/>
        <v>0.99378211358579349</v>
      </c>
    </row>
    <row r="54" spans="19:20" x14ac:dyDescent="0.25">
      <c r="S54">
        <f t="shared" si="3"/>
        <v>19.999999999999993</v>
      </c>
      <c r="T54">
        <f t="shared" si="2"/>
        <v>1</v>
      </c>
    </row>
    <row r="55" spans="19:20" x14ac:dyDescent="0.25">
      <c r="S55">
        <f t="shared" si="3"/>
        <v>20.399999999999991</v>
      </c>
      <c r="T55">
        <f t="shared" si="2"/>
        <v>1</v>
      </c>
    </row>
    <row r="56" spans="19:20" x14ac:dyDescent="0.25">
      <c r="S56">
        <f t="shared" si="3"/>
        <v>20.79999999999999</v>
      </c>
      <c r="T56">
        <f t="shared" si="2"/>
        <v>1</v>
      </c>
    </row>
    <row r="57" spans="19:20" x14ac:dyDescent="0.25">
      <c r="S57">
        <f t="shared" si="3"/>
        <v>21.199999999999989</v>
      </c>
      <c r="T57">
        <f t="shared" si="2"/>
        <v>1</v>
      </c>
    </row>
    <row r="58" spans="19:20" x14ac:dyDescent="0.25">
      <c r="S58">
        <f t="shared" si="3"/>
        <v>21.599999999999987</v>
      </c>
      <c r="T58">
        <f t="shared" si="2"/>
        <v>1</v>
      </c>
    </row>
    <row r="59" spans="19:20" x14ac:dyDescent="0.25">
      <c r="S59">
        <f t="shared" si="3"/>
        <v>21.999999999999986</v>
      </c>
      <c r="T59">
        <f t="shared" si="2"/>
        <v>1</v>
      </c>
    </row>
    <row r="60" spans="19:20" x14ac:dyDescent="0.25">
      <c r="S60">
        <f t="shared" si="3"/>
        <v>22.399999999999984</v>
      </c>
      <c r="T60">
        <f t="shared" si="2"/>
        <v>1</v>
      </c>
    </row>
    <row r="61" spans="19:20" x14ac:dyDescent="0.25">
      <c r="S61">
        <f t="shared" si="3"/>
        <v>22.799999999999983</v>
      </c>
      <c r="T61">
        <f t="shared" si="2"/>
        <v>1</v>
      </c>
    </row>
    <row r="62" spans="19:20" x14ac:dyDescent="0.25">
      <c r="S62">
        <f t="shared" si="3"/>
        <v>23.199999999999982</v>
      </c>
      <c r="T62">
        <f t="shared" si="2"/>
        <v>1</v>
      </c>
    </row>
    <row r="63" spans="19:20" x14ac:dyDescent="0.25">
      <c r="S63">
        <f t="shared" si="3"/>
        <v>23.59999999999998</v>
      </c>
      <c r="T63">
        <f t="shared" si="2"/>
        <v>1</v>
      </c>
    </row>
    <row r="64" spans="19:20" x14ac:dyDescent="0.25">
      <c r="S64">
        <f t="shared" si="3"/>
        <v>23.999999999999979</v>
      </c>
      <c r="T64">
        <f t="shared" si="2"/>
        <v>1</v>
      </c>
    </row>
    <row r="65" spans="19:20" x14ac:dyDescent="0.25">
      <c r="S65">
        <f t="shared" si="3"/>
        <v>24.399999999999977</v>
      </c>
      <c r="T65">
        <f t="shared" si="2"/>
        <v>1</v>
      </c>
    </row>
    <row r="66" spans="19:20" x14ac:dyDescent="0.25">
      <c r="S66">
        <f t="shared" si="3"/>
        <v>24.799999999999976</v>
      </c>
      <c r="T66">
        <f t="shared" si="2"/>
        <v>1</v>
      </c>
    </row>
    <row r="67" spans="19:20" x14ac:dyDescent="0.25">
      <c r="S67">
        <f t="shared" si="3"/>
        <v>25.199999999999974</v>
      </c>
      <c r="T67">
        <f t="shared" si="2"/>
        <v>1</v>
      </c>
    </row>
    <row r="68" spans="19:20" x14ac:dyDescent="0.25">
      <c r="S68">
        <f t="shared" si="3"/>
        <v>25.599999999999973</v>
      </c>
      <c r="T68">
        <f t="shared" si="2"/>
        <v>1</v>
      </c>
    </row>
    <row r="69" spans="19:20" x14ac:dyDescent="0.25">
      <c r="S69">
        <f t="shared" si="3"/>
        <v>25.999999999999972</v>
      </c>
      <c r="T69">
        <f t="shared" ref="T69:T105" si="4">IF(S69&lt;=MIN($A$2:$A$12),0,IF(S69&gt;=MAX($A$2:$A$12),1,(1/$B$16)*(1-EXP($B$14*(S69-MIN($A$2:$A$12))^$B$15))))</f>
        <v>1</v>
      </c>
    </row>
    <row r="70" spans="19:20" x14ac:dyDescent="0.25">
      <c r="S70">
        <f t="shared" ref="S70:S105" si="5">S69+(MAX($A$2:$A$12)-$S$4)/50</f>
        <v>26.39999999999997</v>
      </c>
      <c r="T70">
        <f t="shared" si="4"/>
        <v>1</v>
      </c>
    </row>
    <row r="71" spans="19:20" x14ac:dyDescent="0.25">
      <c r="S71">
        <f t="shared" si="5"/>
        <v>26.799999999999969</v>
      </c>
      <c r="T71">
        <f t="shared" si="4"/>
        <v>1</v>
      </c>
    </row>
    <row r="72" spans="19:20" x14ac:dyDescent="0.25">
      <c r="S72">
        <f t="shared" si="5"/>
        <v>27.199999999999967</v>
      </c>
      <c r="T72">
        <f t="shared" si="4"/>
        <v>1</v>
      </c>
    </row>
    <row r="73" spans="19:20" x14ac:dyDescent="0.25">
      <c r="S73">
        <f t="shared" si="5"/>
        <v>27.599999999999966</v>
      </c>
      <c r="T73">
        <f t="shared" si="4"/>
        <v>1</v>
      </c>
    </row>
    <row r="74" spans="19:20" x14ac:dyDescent="0.25">
      <c r="S74">
        <f t="shared" si="5"/>
        <v>27.999999999999964</v>
      </c>
      <c r="T74">
        <f t="shared" si="4"/>
        <v>1</v>
      </c>
    </row>
    <row r="75" spans="19:20" x14ac:dyDescent="0.25">
      <c r="S75">
        <f t="shared" si="5"/>
        <v>28.399999999999963</v>
      </c>
      <c r="T75">
        <f t="shared" si="4"/>
        <v>1</v>
      </c>
    </row>
    <row r="76" spans="19:20" x14ac:dyDescent="0.25">
      <c r="S76">
        <f t="shared" si="5"/>
        <v>28.799999999999962</v>
      </c>
      <c r="T76">
        <f t="shared" si="4"/>
        <v>1</v>
      </c>
    </row>
    <row r="77" spans="19:20" x14ac:dyDescent="0.25">
      <c r="S77">
        <f t="shared" si="5"/>
        <v>29.19999999999996</v>
      </c>
      <c r="T77">
        <f t="shared" si="4"/>
        <v>1</v>
      </c>
    </row>
    <row r="78" spans="19:20" x14ac:dyDescent="0.25">
      <c r="S78">
        <f t="shared" si="5"/>
        <v>29.599999999999959</v>
      </c>
      <c r="T78">
        <f t="shared" si="4"/>
        <v>1</v>
      </c>
    </row>
    <row r="79" spans="19:20" x14ac:dyDescent="0.25">
      <c r="S79">
        <f t="shared" si="5"/>
        <v>29.999999999999957</v>
      </c>
      <c r="T79">
        <f t="shared" si="4"/>
        <v>1</v>
      </c>
    </row>
    <row r="80" spans="19:20" x14ac:dyDescent="0.25">
      <c r="S80">
        <f t="shared" si="5"/>
        <v>30.399999999999956</v>
      </c>
      <c r="T80">
        <f t="shared" si="4"/>
        <v>1</v>
      </c>
    </row>
    <row r="81" spans="19:20" x14ac:dyDescent="0.25">
      <c r="S81">
        <f t="shared" si="5"/>
        <v>30.799999999999955</v>
      </c>
      <c r="T81">
        <f t="shared" si="4"/>
        <v>1</v>
      </c>
    </row>
    <row r="82" spans="19:20" x14ac:dyDescent="0.25">
      <c r="S82">
        <f t="shared" si="5"/>
        <v>31.199999999999953</v>
      </c>
      <c r="T82">
        <f t="shared" si="4"/>
        <v>1</v>
      </c>
    </row>
    <row r="83" spans="19:20" x14ac:dyDescent="0.25">
      <c r="S83">
        <f t="shared" si="5"/>
        <v>31.599999999999952</v>
      </c>
      <c r="T83">
        <f t="shared" si="4"/>
        <v>1</v>
      </c>
    </row>
    <row r="84" spans="19:20" x14ac:dyDescent="0.25">
      <c r="S84">
        <f t="shared" si="5"/>
        <v>31.99999999999995</v>
      </c>
      <c r="T84">
        <f t="shared" si="4"/>
        <v>1</v>
      </c>
    </row>
    <row r="85" spans="19:20" x14ac:dyDescent="0.25">
      <c r="S85">
        <f t="shared" si="5"/>
        <v>32.399999999999949</v>
      </c>
      <c r="T85">
        <f t="shared" si="4"/>
        <v>1</v>
      </c>
    </row>
    <row r="86" spans="19:20" x14ac:dyDescent="0.25">
      <c r="S86">
        <f t="shared" si="5"/>
        <v>32.799999999999947</v>
      </c>
      <c r="T86">
        <f t="shared" si="4"/>
        <v>1</v>
      </c>
    </row>
    <row r="87" spans="19:20" x14ac:dyDescent="0.25">
      <c r="S87">
        <f t="shared" si="5"/>
        <v>33.199999999999946</v>
      </c>
      <c r="T87">
        <f t="shared" si="4"/>
        <v>1</v>
      </c>
    </row>
    <row r="88" spans="19:20" x14ac:dyDescent="0.25">
      <c r="S88">
        <f t="shared" si="5"/>
        <v>33.599999999999945</v>
      </c>
      <c r="T88">
        <f t="shared" si="4"/>
        <v>1</v>
      </c>
    </row>
    <row r="89" spans="19:20" x14ac:dyDescent="0.25">
      <c r="S89">
        <f t="shared" si="5"/>
        <v>33.999999999999943</v>
      </c>
      <c r="T89">
        <f t="shared" si="4"/>
        <v>1</v>
      </c>
    </row>
    <row r="90" spans="19:20" x14ac:dyDescent="0.25">
      <c r="S90">
        <f t="shared" si="5"/>
        <v>34.399999999999942</v>
      </c>
      <c r="T90">
        <f t="shared" si="4"/>
        <v>1</v>
      </c>
    </row>
    <row r="91" spans="19:20" x14ac:dyDescent="0.25">
      <c r="S91">
        <f t="shared" si="5"/>
        <v>34.79999999999994</v>
      </c>
      <c r="T91">
        <f t="shared" si="4"/>
        <v>1</v>
      </c>
    </row>
    <row r="92" spans="19:20" x14ac:dyDescent="0.25">
      <c r="S92">
        <f t="shared" si="5"/>
        <v>35.199999999999939</v>
      </c>
      <c r="T92">
        <f t="shared" si="4"/>
        <v>1</v>
      </c>
    </row>
    <row r="93" spans="19:20" x14ac:dyDescent="0.25">
      <c r="S93">
        <f t="shared" si="5"/>
        <v>35.599999999999937</v>
      </c>
      <c r="T93">
        <f t="shared" si="4"/>
        <v>1</v>
      </c>
    </row>
    <row r="94" spans="19:20" x14ac:dyDescent="0.25">
      <c r="S94">
        <f t="shared" si="5"/>
        <v>35.999999999999936</v>
      </c>
      <c r="T94">
        <f t="shared" si="4"/>
        <v>1</v>
      </c>
    </row>
    <row r="95" spans="19:20" x14ac:dyDescent="0.25">
      <c r="S95">
        <f t="shared" si="5"/>
        <v>36.399999999999935</v>
      </c>
      <c r="T95">
        <f t="shared" si="4"/>
        <v>1</v>
      </c>
    </row>
    <row r="96" spans="19:20" x14ac:dyDescent="0.25">
      <c r="S96">
        <f t="shared" si="5"/>
        <v>36.799999999999933</v>
      </c>
      <c r="T96">
        <f t="shared" si="4"/>
        <v>1</v>
      </c>
    </row>
    <row r="97" spans="19:20" x14ac:dyDescent="0.25">
      <c r="S97">
        <f t="shared" si="5"/>
        <v>37.199999999999932</v>
      </c>
      <c r="T97">
        <f t="shared" si="4"/>
        <v>1</v>
      </c>
    </row>
    <row r="98" spans="19:20" x14ac:dyDescent="0.25">
      <c r="S98">
        <f t="shared" si="5"/>
        <v>37.59999999999993</v>
      </c>
      <c r="T98">
        <f t="shared" si="4"/>
        <v>1</v>
      </c>
    </row>
    <row r="99" spans="19:20" x14ac:dyDescent="0.25">
      <c r="S99">
        <f t="shared" si="5"/>
        <v>37.999999999999929</v>
      </c>
      <c r="T99">
        <f t="shared" si="4"/>
        <v>1</v>
      </c>
    </row>
    <row r="100" spans="19:20" x14ac:dyDescent="0.25">
      <c r="S100">
        <f t="shared" si="5"/>
        <v>38.399999999999928</v>
      </c>
      <c r="T100">
        <f t="shared" si="4"/>
        <v>1</v>
      </c>
    </row>
    <row r="101" spans="19:20" x14ac:dyDescent="0.25">
      <c r="S101">
        <f t="shared" si="5"/>
        <v>38.799999999999926</v>
      </c>
      <c r="T101">
        <f t="shared" si="4"/>
        <v>1</v>
      </c>
    </row>
    <row r="102" spans="19:20" x14ac:dyDescent="0.25">
      <c r="S102">
        <f t="shared" si="5"/>
        <v>39.199999999999925</v>
      </c>
      <c r="T102">
        <f t="shared" si="4"/>
        <v>1</v>
      </c>
    </row>
    <row r="103" spans="19:20" x14ac:dyDescent="0.25">
      <c r="S103">
        <f t="shared" si="5"/>
        <v>39.599999999999923</v>
      </c>
      <c r="T103">
        <f t="shared" si="4"/>
        <v>1</v>
      </c>
    </row>
    <row r="104" spans="19:20" x14ac:dyDescent="0.25">
      <c r="S104">
        <f t="shared" si="5"/>
        <v>39.999999999999922</v>
      </c>
      <c r="T104">
        <f t="shared" si="4"/>
        <v>1</v>
      </c>
    </row>
    <row r="105" spans="19:20" x14ac:dyDescent="0.25">
      <c r="S105">
        <f t="shared" si="5"/>
        <v>40.39999999999992</v>
      </c>
      <c r="T105">
        <f t="shared" si="4"/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C20" sqref="C20"/>
    </sheetView>
  </sheetViews>
  <sheetFormatPr defaultRowHeight="15" x14ac:dyDescent="0.25"/>
  <cols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227</v>
      </c>
      <c r="B1" s="30" t="s">
        <v>219</v>
      </c>
      <c r="P1" t="s">
        <v>222</v>
      </c>
      <c r="Q1" t="s">
        <v>223</v>
      </c>
    </row>
    <row r="2" spans="1:20" x14ac:dyDescent="0.25">
      <c r="A2">
        <v>999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v>999</v>
      </c>
      <c r="B3">
        <v>0.2</v>
      </c>
      <c r="P3" s="28">
        <f t="shared" ref="P3:P12" si="0">(1-EXP($B$14*(A3-MIN($A$2:$A$12))^$B$15))/$B$16</f>
        <v>0</v>
      </c>
      <c r="Q3" s="28">
        <f t="shared" ref="Q3:Q12" si="1">(P3-B3)^2</f>
        <v>4.0000000000000008E-2</v>
      </c>
      <c r="S3" t="s">
        <v>225</v>
      </c>
      <c r="T3" t="s">
        <v>226</v>
      </c>
    </row>
    <row r="4" spans="1:20" x14ac:dyDescent="0.25">
      <c r="A4">
        <v>999</v>
      </c>
      <c r="B4">
        <v>0.4</v>
      </c>
      <c r="P4" s="28">
        <f t="shared" si="0"/>
        <v>0</v>
      </c>
      <c r="Q4" s="28">
        <f t="shared" si="1"/>
        <v>0.16000000000000003</v>
      </c>
      <c r="S4">
        <f>MIN(A2:A12)</f>
        <v>999</v>
      </c>
      <c r="T4">
        <f>IF(S4&lt;=MIN($A$2:$A$12),0,IF(S4&gt;=MAX($A$2:$A$12),1,(1/$B$16)*(1-EXP($B$14*(S4-MIN($A$2:$A$12))^$B$15))))</f>
        <v>0</v>
      </c>
    </row>
    <row r="5" spans="1:20" x14ac:dyDescent="0.25">
      <c r="A5">
        <v>1000</v>
      </c>
      <c r="B5">
        <v>0.5</v>
      </c>
      <c r="P5" s="28">
        <f t="shared" si="0"/>
        <v>0.50000000277555756</v>
      </c>
      <c r="Q5" s="28">
        <f t="shared" si="1"/>
        <v>7.7037197775489434E-18</v>
      </c>
      <c r="S5">
        <f>S4+(MAX($A$2:$A$12)-$S$4)/50</f>
        <v>999.04</v>
      </c>
      <c r="T5">
        <f t="shared" ref="T5:T68" si="2">IF(S5&lt;=MIN($A$2:$A$12),0,IF(S5&gt;=MAX($A$2:$A$12),1,(1/$B$16)*(1-EXP($B$14*(S5-MIN($A$2:$A$12))^$B$15))))</f>
        <v>2.0000001887379163E-2</v>
      </c>
    </row>
    <row r="6" spans="1:20" x14ac:dyDescent="0.25">
      <c r="A6">
        <v>1001</v>
      </c>
      <c r="B6">
        <v>0.6</v>
      </c>
      <c r="P6" s="28">
        <f t="shared" si="0"/>
        <v>1</v>
      </c>
      <c r="Q6" s="28">
        <f t="shared" si="1"/>
        <v>0.16000000000000003</v>
      </c>
      <c r="S6">
        <f t="shared" ref="S6:S69" si="3">S5+(MAX($A$2:$A$12)-$S$4)/50</f>
        <v>999.07999999999993</v>
      </c>
      <c r="T6">
        <f t="shared" si="2"/>
        <v>3.9999998223643141E-2</v>
      </c>
    </row>
    <row r="7" spans="1:20" x14ac:dyDescent="0.25">
      <c r="A7">
        <v>1001</v>
      </c>
      <c r="B7">
        <v>0.7</v>
      </c>
      <c r="P7" s="28">
        <f t="shared" si="0"/>
        <v>1</v>
      </c>
      <c r="Q7" s="28">
        <f t="shared" si="1"/>
        <v>9.0000000000000024E-2</v>
      </c>
      <c r="S7">
        <f t="shared" si="3"/>
        <v>999.11999999999989</v>
      </c>
      <c r="T7">
        <f t="shared" si="2"/>
        <v>6.00000001110223E-2</v>
      </c>
    </row>
    <row r="8" spans="1:20" x14ac:dyDescent="0.25">
      <c r="A8">
        <v>1001</v>
      </c>
      <c r="B8">
        <v>0.8</v>
      </c>
      <c r="P8" s="28">
        <f t="shared" si="0"/>
        <v>1</v>
      </c>
      <c r="Q8" s="28">
        <f t="shared" si="1"/>
        <v>3.999999999999998E-2</v>
      </c>
      <c r="S8">
        <f t="shared" si="3"/>
        <v>999.15999999999985</v>
      </c>
      <c r="T8">
        <f t="shared" si="2"/>
        <v>8.000000199840146E-2</v>
      </c>
    </row>
    <row r="9" spans="1:20" x14ac:dyDescent="0.25">
      <c r="A9">
        <v>1001</v>
      </c>
      <c r="B9">
        <v>0.85</v>
      </c>
      <c r="P9" s="28">
        <f t="shared" si="0"/>
        <v>1</v>
      </c>
      <c r="Q9" s="28">
        <f t="shared" si="1"/>
        <v>2.2500000000000006E-2</v>
      </c>
      <c r="S9">
        <f t="shared" si="3"/>
        <v>999.19999999999982</v>
      </c>
      <c r="T9">
        <f t="shared" si="2"/>
        <v>9.9999998334665441E-2</v>
      </c>
    </row>
    <row r="10" spans="1:20" x14ac:dyDescent="0.25">
      <c r="A10">
        <v>1001</v>
      </c>
      <c r="B10">
        <v>0.9</v>
      </c>
      <c r="P10" s="28">
        <f t="shared" si="0"/>
        <v>1</v>
      </c>
      <c r="Q10" s="28">
        <f t="shared" si="1"/>
        <v>9.999999999999995E-3</v>
      </c>
      <c r="S10">
        <f t="shared" si="3"/>
        <v>999.23999999999978</v>
      </c>
      <c r="T10">
        <f t="shared" si="2"/>
        <v>0.1200000002220446</v>
      </c>
    </row>
    <row r="11" spans="1:20" x14ac:dyDescent="0.25">
      <c r="A11">
        <v>1001</v>
      </c>
      <c r="B11">
        <v>0.95</v>
      </c>
      <c r="P11" s="28">
        <f t="shared" si="0"/>
        <v>1</v>
      </c>
      <c r="Q11" s="28">
        <f t="shared" si="1"/>
        <v>2.5000000000000044E-3</v>
      </c>
      <c r="S11">
        <f t="shared" si="3"/>
        <v>999.27999999999975</v>
      </c>
      <c r="T11">
        <f t="shared" si="2"/>
        <v>0.14000000210942376</v>
      </c>
    </row>
    <row r="12" spans="1:20" x14ac:dyDescent="0.25">
      <c r="A12">
        <v>1001</v>
      </c>
      <c r="B12">
        <v>1</v>
      </c>
      <c r="P12" s="28">
        <f t="shared" si="0"/>
        <v>1</v>
      </c>
      <c r="Q12" s="28">
        <f t="shared" si="1"/>
        <v>0</v>
      </c>
      <c r="S12">
        <f t="shared" si="3"/>
        <v>999.31999999999971</v>
      </c>
      <c r="T12">
        <f t="shared" si="2"/>
        <v>0.16000000399680292</v>
      </c>
    </row>
    <row r="13" spans="1:20" x14ac:dyDescent="0.25">
      <c r="S13">
        <f t="shared" si="3"/>
        <v>999.35999999999967</v>
      </c>
      <c r="T13">
        <f t="shared" si="2"/>
        <v>0.1800000003330669</v>
      </c>
    </row>
    <row r="14" spans="1:20" x14ac:dyDescent="0.25">
      <c r="A14" t="s">
        <v>220</v>
      </c>
      <c r="B14" s="29">
        <v>-1E-8</v>
      </c>
      <c r="O14" t="s">
        <v>224</v>
      </c>
      <c r="Q14" s="28">
        <f>SUM(Q2:Q12)</f>
        <v>0.52500000000000013</v>
      </c>
      <c r="S14">
        <f t="shared" si="3"/>
        <v>999.39999999999964</v>
      </c>
      <c r="T14">
        <f t="shared" si="2"/>
        <v>0.20000000222044606</v>
      </c>
    </row>
    <row r="15" spans="1:20" x14ac:dyDescent="0.25">
      <c r="A15" t="s">
        <v>228</v>
      </c>
      <c r="B15" s="28">
        <v>1</v>
      </c>
      <c r="S15">
        <f t="shared" si="3"/>
        <v>999.4399999999996</v>
      </c>
      <c r="T15">
        <f t="shared" si="2"/>
        <v>0.22000000410782522</v>
      </c>
    </row>
    <row r="16" spans="1:20" x14ac:dyDescent="0.25">
      <c r="A16" t="s">
        <v>221</v>
      </c>
      <c r="B16" s="28">
        <f>1-EXP($B$14*(MAX($A$2:$A$12)-MIN($A$2:$A$12))^$B$15)</f>
        <v>1.9999999767428278E-8</v>
      </c>
      <c r="S16">
        <f t="shared" si="3"/>
        <v>999.47999999999956</v>
      </c>
      <c r="T16">
        <f t="shared" si="2"/>
        <v>0.2400000004440892</v>
      </c>
    </row>
    <row r="17" spans="19:20" x14ac:dyDescent="0.25">
      <c r="S17">
        <f t="shared" si="3"/>
        <v>999.51999999999953</v>
      </c>
      <c r="T17">
        <f t="shared" si="2"/>
        <v>0.26000000233146836</v>
      </c>
    </row>
    <row r="18" spans="19:20" x14ac:dyDescent="0.25">
      <c r="S18">
        <f t="shared" si="3"/>
        <v>999.55999999999949</v>
      </c>
      <c r="T18">
        <f t="shared" si="2"/>
        <v>0.28000000421884752</v>
      </c>
    </row>
    <row r="19" spans="19:20" x14ac:dyDescent="0.25">
      <c r="S19">
        <f t="shared" si="3"/>
        <v>999.59999999999945</v>
      </c>
      <c r="T19">
        <f t="shared" si="2"/>
        <v>0.3000000005551115</v>
      </c>
    </row>
    <row r="20" spans="19:20" x14ac:dyDescent="0.25">
      <c r="S20">
        <f t="shared" si="3"/>
        <v>999.63999999999942</v>
      </c>
      <c r="T20">
        <f t="shared" si="2"/>
        <v>0.32000000244249066</v>
      </c>
    </row>
    <row r="21" spans="19:20" x14ac:dyDescent="0.25">
      <c r="S21">
        <f t="shared" si="3"/>
        <v>999.67999999999938</v>
      </c>
      <c r="T21">
        <f t="shared" si="2"/>
        <v>0.34000000432986982</v>
      </c>
    </row>
    <row r="22" spans="19:20" x14ac:dyDescent="0.25">
      <c r="S22">
        <f t="shared" si="3"/>
        <v>999.71999999999935</v>
      </c>
      <c r="T22">
        <f t="shared" si="2"/>
        <v>0.3600000006661338</v>
      </c>
    </row>
    <row r="23" spans="19:20" x14ac:dyDescent="0.25">
      <c r="S23">
        <f t="shared" si="3"/>
        <v>999.75999999999931</v>
      </c>
      <c r="T23">
        <f t="shared" si="2"/>
        <v>0.38000000255351296</v>
      </c>
    </row>
    <row r="24" spans="19:20" x14ac:dyDescent="0.25">
      <c r="S24">
        <f t="shared" si="3"/>
        <v>999.79999999999927</v>
      </c>
      <c r="T24">
        <f t="shared" si="2"/>
        <v>0.40000000444089212</v>
      </c>
    </row>
    <row r="25" spans="19:20" x14ac:dyDescent="0.25">
      <c r="S25">
        <f t="shared" si="3"/>
        <v>999.83999999999924</v>
      </c>
      <c r="T25">
        <f t="shared" si="2"/>
        <v>0.4200000007771561</v>
      </c>
    </row>
    <row r="26" spans="19:20" x14ac:dyDescent="0.25">
      <c r="S26">
        <f t="shared" si="3"/>
        <v>999.8799999999992</v>
      </c>
      <c r="T26">
        <f t="shared" si="2"/>
        <v>0.44000000266453526</v>
      </c>
    </row>
    <row r="27" spans="19:20" x14ac:dyDescent="0.25">
      <c r="S27">
        <f t="shared" si="3"/>
        <v>999.91999999999916</v>
      </c>
      <c r="T27">
        <f t="shared" si="2"/>
        <v>0.46000000455191442</v>
      </c>
    </row>
    <row r="28" spans="19:20" x14ac:dyDescent="0.25">
      <c r="S28">
        <f t="shared" si="3"/>
        <v>999.95999999999913</v>
      </c>
      <c r="T28">
        <f t="shared" si="2"/>
        <v>0.4800000008881784</v>
      </c>
    </row>
    <row r="29" spans="19:20" x14ac:dyDescent="0.25">
      <c r="S29">
        <f t="shared" si="3"/>
        <v>999.99999999999909</v>
      </c>
      <c r="T29">
        <f t="shared" si="2"/>
        <v>0.50000000277555756</v>
      </c>
    </row>
    <row r="30" spans="19:20" x14ac:dyDescent="0.25">
      <c r="S30">
        <f t="shared" si="3"/>
        <v>1000.0399999999991</v>
      </c>
      <c r="T30">
        <f t="shared" si="2"/>
        <v>0.52000000466293672</v>
      </c>
    </row>
    <row r="31" spans="19:20" x14ac:dyDescent="0.25">
      <c r="S31">
        <f t="shared" si="3"/>
        <v>1000.079999999999</v>
      </c>
      <c r="T31">
        <f t="shared" si="2"/>
        <v>0.54000000099920076</v>
      </c>
    </row>
    <row r="32" spans="19:20" x14ac:dyDescent="0.25">
      <c r="S32">
        <f t="shared" si="3"/>
        <v>1000.119999999999</v>
      </c>
      <c r="T32">
        <f t="shared" si="2"/>
        <v>0.56000000288657992</v>
      </c>
    </row>
    <row r="33" spans="19:20" x14ac:dyDescent="0.25">
      <c r="S33">
        <f t="shared" si="3"/>
        <v>1000.1599999999989</v>
      </c>
      <c r="T33">
        <f t="shared" si="2"/>
        <v>0.58000000477395908</v>
      </c>
    </row>
    <row r="34" spans="19:20" x14ac:dyDescent="0.25">
      <c r="S34">
        <f t="shared" si="3"/>
        <v>1000.1999999999989</v>
      </c>
      <c r="T34">
        <f t="shared" si="2"/>
        <v>0.600000001110223</v>
      </c>
    </row>
    <row r="35" spans="19:20" x14ac:dyDescent="0.25">
      <c r="S35">
        <f t="shared" si="3"/>
        <v>1000.2399999999989</v>
      </c>
      <c r="T35">
        <f t="shared" si="2"/>
        <v>0.62000000299760216</v>
      </c>
    </row>
    <row r="36" spans="19:20" x14ac:dyDescent="0.25">
      <c r="S36">
        <f t="shared" si="3"/>
        <v>1000.2799999999988</v>
      </c>
      <c r="T36">
        <f t="shared" si="2"/>
        <v>0.64000000488498132</v>
      </c>
    </row>
    <row r="37" spans="19:20" x14ac:dyDescent="0.25">
      <c r="S37">
        <f t="shared" si="3"/>
        <v>1000.3199999999988</v>
      </c>
      <c r="T37">
        <f t="shared" si="2"/>
        <v>0.66000000122124536</v>
      </c>
    </row>
    <row r="38" spans="19:20" x14ac:dyDescent="0.25">
      <c r="S38">
        <f t="shared" si="3"/>
        <v>1000.3599999999988</v>
      </c>
      <c r="T38">
        <f t="shared" si="2"/>
        <v>0.68000000310862452</v>
      </c>
    </row>
    <row r="39" spans="19:20" x14ac:dyDescent="0.25">
      <c r="S39">
        <f t="shared" si="3"/>
        <v>1000.3999999999987</v>
      </c>
      <c r="T39">
        <f t="shared" si="2"/>
        <v>0.70000000499600368</v>
      </c>
    </row>
    <row r="40" spans="19:20" x14ac:dyDescent="0.25">
      <c r="S40">
        <f t="shared" si="3"/>
        <v>1000.4399999999987</v>
      </c>
      <c r="T40">
        <f t="shared" si="2"/>
        <v>0.7200000013322676</v>
      </c>
    </row>
    <row r="41" spans="19:20" x14ac:dyDescent="0.25">
      <c r="S41">
        <f t="shared" si="3"/>
        <v>1000.4799999999987</v>
      </c>
      <c r="T41">
        <f t="shared" si="2"/>
        <v>0.74000000321964676</v>
      </c>
    </row>
    <row r="42" spans="19:20" x14ac:dyDescent="0.25">
      <c r="S42">
        <f t="shared" si="3"/>
        <v>1000.5199999999986</v>
      </c>
      <c r="T42">
        <f t="shared" si="2"/>
        <v>0.76000000510702592</v>
      </c>
    </row>
    <row r="43" spans="19:20" x14ac:dyDescent="0.25">
      <c r="S43">
        <f t="shared" si="3"/>
        <v>1000.5599999999986</v>
      </c>
      <c r="T43">
        <f t="shared" si="2"/>
        <v>0.78000000144328996</v>
      </c>
    </row>
    <row r="44" spans="19:20" x14ac:dyDescent="0.25">
      <c r="S44">
        <f t="shared" si="3"/>
        <v>1000.5999999999985</v>
      </c>
      <c r="T44">
        <f t="shared" si="2"/>
        <v>0.80000000333066912</v>
      </c>
    </row>
    <row r="45" spans="19:20" x14ac:dyDescent="0.25">
      <c r="S45">
        <f t="shared" si="3"/>
        <v>1000.6399999999985</v>
      </c>
      <c r="T45">
        <f t="shared" si="2"/>
        <v>0.82000000521804828</v>
      </c>
    </row>
    <row r="46" spans="19:20" x14ac:dyDescent="0.25">
      <c r="S46">
        <f t="shared" si="3"/>
        <v>1000.6799999999985</v>
      </c>
      <c r="T46">
        <f t="shared" si="2"/>
        <v>0.8400000015543122</v>
      </c>
    </row>
    <row r="47" spans="19:20" x14ac:dyDescent="0.25">
      <c r="S47">
        <f t="shared" si="3"/>
        <v>1000.7199999999984</v>
      </c>
      <c r="T47">
        <f t="shared" si="2"/>
        <v>0.86000000344169136</v>
      </c>
    </row>
    <row r="48" spans="19:20" x14ac:dyDescent="0.25">
      <c r="S48">
        <f t="shared" si="3"/>
        <v>1000.7599999999984</v>
      </c>
      <c r="T48">
        <f t="shared" si="2"/>
        <v>0.8799999997779554</v>
      </c>
    </row>
    <row r="49" spans="19:20" x14ac:dyDescent="0.25">
      <c r="S49">
        <f t="shared" si="3"/>
        <v>1000.7999999999984</v>
      </c>
      <c r="T49">
        <f t="shared" si="2"/>
        <v>0.90000000166533456</v>
      </c>
    </row>
    <row r="50" spans="19:20" x14ac:dyDescent="0.25">
      <c r="S50">
        <f t="shared" si="3"/>
        <v>1000.8399999999983</v>
      </c>
      <c r="T50">
        <f t="shared" si="2"/>
        <v>0.92000000355271372</v>
      </c>
    </row>
    <row r="51" spans="19:20" x14ac:dyDescent="0.25">
      <c r="S51">
        <f t="shared" si="3"/>
        <v>1000.8799999999983</v>
      </c>
      <c r="T51">
        <f t="shared" si="2"/>
        <v>0.93999999988897764</v>
      </c>
    </row>
    <row r="52" spans="19:20" x14ac:dyDescent="0.25">
      <c r="S52">
        <f t="shared" si="3"/>
        <v>1000.9199999999983</v>
      </c>
      <c r="T52">
        <f t="shared" si="2"/>
        <v>0.9600000017763568</v>
      </c>
    </row>
    <row r="53" spans="19:20" x14ac:dyDescent="0.25">
      <c r="S53">
        <f t="shared" si="3"/>
        <v>1000.9599999999982</v>
      </c>
      <c r="T53">
        <f t="shared" si="2"/>
        <v>0.98000000366373596</v>
      </c>
    </row>
    <row r="54" spans="19:20" x14ac:dyDescent="0.25">
      <c r="S54">
        <f t="shared" si="3"/>
        <v>1000.9999999999982</v>
      </c>
      <c r="T54">
        <f t="shared" si="2"/>
        <v>1</v>
      </c>
    </row>
    <row r="55" spans="19:20" x14ac:dyDescent="0.25">
      <c r="S55">
        <f t="shared" si="3"/>
        <v>1001.0399999999981</v>
      </c>
      <c r="T55">
        <f t="shared" si="2"/>
        <v>1</v>
      </c>
    </row>
    <row r="56" spans="19:20" x14ac:dyDescent="0.25">
      <c r="S56">
        <f t="shared" si="3"/>
        <v>1001.0799999999981</v>
      </c>
      <c r="T56">
        <f t="shared" si="2"/>
        <v>1</v>
      </c>
    </row>
    <row r="57" spans="19:20" x14ac:dyDescent="0.25">
      <c r="S57">
        <f t="shared" si="3"/>
        <v>1001.1199999999981</v>
      </c>
      <c r="T57">
        <f t="shared" si="2"/>
        <v>1</v>
      </c>
    </row>
    <row r="58" spans="19:20" x14ac:dyDescent="0.25">
      <c r="S58">
        <f t="shared" si="3"/>
        <v>1001.159999999998</v>
      </c>
      <c r="T58">
        <f t="shared" si="2"/>
        <v>1</v>
      </c>
    </row>
    <row r="59" spans="19:20" x14ac:dyDescent="0.25">
      <c r="S59">
        <f t="shared" si="3"/>
        <v>1001.199999999998</v>
      </c>
      <c r="T59">
        <f t="shared" si="2"/>
        <v>1</v>
      </c>
    </row>
    <row r="60" spans="19:20" x14ac:dyDescent="0.25">
      <c r="S60">
        <f t="shared" si="3"/>
        <v>1001.239999999998</v>
      </c>
      <c r="T60">
        <f t="shared" si="2"/>
        <v>1</v>
      </c>
    </row>
    <row r="61" spans="19:20" x14ac:dyDescent="0.25">
      <c r="S61">
        <f t="shared" si="3"/>
        <v>1001.2799999999979</v>
      </c>
      <c r="T61">
        <f t="shared" si="2"/>
        <v>1</v>
      </c>
    </row>
    <row r="62" spans="19:20" x14ac:dyDescent="0.25">
      <c r="S62">
        <f t="shared" si="3"/>
        <v>1001.3199999999979</v>
      </c>
      <c r="T62">
        <f t="shared" si="2"/>
        <v>1</v>
      </c>
    </row>
    <row r="63" spans="19:20" x14ac:dyDescent="0.25">
      <c r="S63">
        <f t="shared" si="3"/>
        <v>1001.3599999999979</v>
      </c>
      <c r="T63">
        <f t="shared" si="2"/>
        <v>1</v>
      </c>
    </row>
    <row r="64" spans="19:20" x14ac:dyDescent="0.25">
      <c r="S64">
        <f t="shared" si="3"/>
        <v>1001.3999999999978</v>
      </c>
      <c r="T64">
        <f t="shared" si="2"/>
        <v>1</v>
      </c>
    </row>
    <row r="65" spans="19:20" x14ac:dyDescent="0.25">
      <c r="S65">
        <f t="shared" si="3"/>
        <v>1001.4399999999978</v>
      </c>
      <c r="T65">
        <f t="shared" si="2"/>
        <v>1</v>
      </c>
    </row>
    <row r="66" spans="19:20" x14ac:dyDescent="0.25">
      <c r="S66">
        <f t="shared" si="3"/>
        <v>1001.4799999999977</v>
      </c>
      <c r="T66">
        <f t="shared" si="2"/>
        <v>1</v>
      </c>
    </row>
    <row r="67" spans="19:20" x14ac:dyDescent="0.25">
      <c r="S67">
        <f t="shared" si="3"/>
        <v>1001.5199999999977</v>
      </c>
      <c r="T67">
        <f t="shared" si="2"/>
        <v>1</v>
      </c>
    </row>
    <row r="68" spans="19:20" x14ac:dyDescent="0.25">
      <c r="S68">
        <f t="shared" si="3"/>
        <v>1001.5599999999977</v>
      </c>
      <c r="T68">
        <f t="shared" si="2"/>
        <v>1</v>
      </c>
    </row>
    <row r="69" spans="19:20" x14ac:dyDescent="0.25">
      <c r="S69">
        <f t="shared" si="3"/>
        <v>1001.5999999999976</v>
      </c>
      <c r="T69">
        <f t="shared" ref="T69:T105" si="4">IF(S69&lt;=MIN($A$2:$A$12),0,IF(S69&gt;=MAX($A$2:$A$12),1,(1/$B$16)*(1-EXP($B$14*(S69-MIN($A$2:$A$12))^$B$15))))</f>
        <v>1</v>
      </c>
    </row>
    <row r="70" spans="19:20" x14ac:dyDescent="0.25">
      <c r="S70">
        <f t="shared" ref="S70:S105" si="5">S69+(MAX($A$2:$A$12)-$S$4)/50</f>
        <v>1001.6399999999976</v>
      </c>
      <c r="T70">
        <f t="shared" si="4"/>
        <v>1</v>
      </c>
    </row>
    <row r="71" spans="19:20" x14ac:dyDescent="0.25">
      <c r="S71">
        <f t="shared" si="5"/>
        <v>1001.6799999999976</v>
      </c>
      <c r="T71">
        <f t="shared" si="4"/>
        <v>1</v>
      </c>
    </row>
    <row r="72" spans="19:20" x14ac:dyDescent="0.25">
      <c r="S72">
        <f t="shared" si="5"/>
        <v>1001.7199999999975</v>
      </c>
      <c r="T72">
        <f t="shared" si="4"/>
        <v>1</v>
      </c>
    </row>
    <row r="73" spans="19:20" x14ac:dyDescent="0.25">
      <c r="S73">
        <f t="shared" si="5"/>
        <v>1001.7599999999975</v>
      </c>
      <c r="T73">
        <f t="shared" si="4"/>
        <v>1</v>
      </c>
    </row>
    <row r="74" spans="19:20" x14ac:dyDescent="0.25">
      <c r="S74">
        <f t="shared" si="5"/>
        <v>1001.7999999999975</v>
      </c>
      <c r="T74">
        <f t="shared" si="4"/>
        <v>1</v>
      </c>
    </row>
    <row r="75" spans="19:20" x14ac:dyDescent="0.25">
      <c r="S75">
        <f t="shared" si="5"/>
        <v>1001.8399999999974</v>
      </c>
      <c r="T75">
        <f t="shared" si="4"/>
        <v>1</v>
      </c>
    </row>
    <row r="76" spans="19:20" x14ac:dyDescent="0.25">
      <c r="S76">
        <f t="shared" si="5"/>
        <v>1001.8799999999974</v>
      </c>
      <c r="T76">
        <f t="shared" si="4"/>
        <v>1</v>
      </c>
    </row>
    <row r="77" spans="19:20" x14ac:dyDescent="0.25">
      <c r="S77">
        <f t="shared" si="5"/>
        <v>1001.9199999999973</v>
      </c>
      <c r="T77">
        <f t="shared" si="4"/>
        <v>1</v>
      </c>
    </row>
    <row r="78" spans="19:20" x14ac:dyDescent="0.25">
      <c r="S78">
        <f t="shared" si="5"/>
        <v>1001.9599999999973</v>
      </c>
      <c r="T78">
        <f t="shared" si="4"/>
        <v>1</v>
      </c>
    </row>
    <row r="79" spans="19:20" x14ac:dyDescent="0.25">
      <c r="S79">
        <f t="shared" si="5"/>
        <v>1001.9999999999973</v>
      </c>
      <c r="T79">
        <f t="shared" si="4"/>
        <v>1</v>
      </c>
    </row>
    <row r="80" spans="19:20" x14ac:dyDescent="0.25">
      <c r="S80">
        <f t="shared" si="5"/>
        <v>1002.0399999999972</v>
      </c>
      <c r="T80">
        <f t="shared" si="4"/>
        <v>1</v>
      </c>
    </row>
    <row r="81" spans="19:20" x14ac:dyDescent="0.25">
      <c r="S81">
        <f t="shared" si="5"/>
        <v>1002.0799999999972</v>
      </c>
      <c r="T81">
        <f t="shared" si="4"/>
        <v>1</v>
      </c>
    </row>
    <row r="82" spans="19:20" x14ac:dyDescent="0.25">
      <c r="S82">
        <f t="shared" si="5"/>
        <v>1002.1199999999972</v>
      </c>
      <c r="T82">
        <f t="shared" si="4"/>
        <v>1</v>
      </c>
    </row>
    <row r="83" spans="19:20" x14ac:dyDescent="0.25">
      <c r="S83">
        <f t="shared" si="5"/>
        <v>1002.1599999999971</v>
      </c>
      <c r="T83">
        <f t="shared" si="4"/>
        <v>1</v>
      </c>
    </row>
    <row r="84" spans="19:20" x14ac:dyDescent="0.25">
      <c r="S84">
        <f t="shared" si="5"/>
        <v>1002.1999999999971</v>
      </c>
      <c r="T84">
        <f t="shared" si="4"/>
        <v>1</v>
      </c>
    </row>
    <row r="85" spans="19:20" x14ac:dyDescent="0.25">
      <c r="S85">
        <f t="shared" si="5"/>
        <v>1002.2399999999971</v>
      </c>
      <c r="T85">
        <f t="shared" si="4"/>
        <v>1</v>
      </c>
    </row>
    <row r="86" spans="19:20" x14ac:dyDescent="0.25">
      <c r="S86">
        <f t="shared" si="5"/>
        <v>1002.279999999997</v>
      </c>
      <c r="T86">
        <f t="shared" si="4"/>
        <v>1</v>
      </c>
    </row>
    <row r="87" spans="19:20" x14ac:dyDescent="0.25">
      <c r="S87">
        <f t="shared" si="5"/>
        <v>1002.319999999997</v>
      </c>
      <c r="T87">
        <f t="shared" si="4"/>
        <v>1</v>
      </c>
    </row>
    <row r="88" spans="19:20" x14ac:dyDescent="0.25">
      <c r="S88">
        <f t="shared" si="5"/>
        <v>1002.3599999999969</v>
      </c>
      <c r="T88">
        <f t="shared" si="4"/>
        <v>1</v>
      </c>
    </row>
    <row r="89" spans="19:20" x14ac:dyDescent="0.25">
      <c r="S89">
        <f t="shared" si="5"/>
        <v>1002.3999999999969</v>
      </c>
      <c r="T89">
        <f t="shared" si="4"/>
        <v>1</v>
      </c>
    </row>
    <row r="90" spans="19:20" x14ac:dyDescent="0.25">
      <c r="S90">
        <f t="shared" si="5"/>
        <v>1002.4399999999969</v>
      </c>
      <c r="T90">
        <f t="shared" si="4"/>
        <v>1</v>
      </c>
    </row>
    <row r="91" spans="19:20" x14ac:dyDescent="0.25">
      <c r="S91">
        <f t="shared" si="5"/>
        <v>1002.4799999999968</v>
      </c>
      <c r="T91">
        <f t="shared" si="4"/>
        <v>1</v>
      </c>
    </row>
    <row r="92" spans="19:20" x14ac:dyDescent="0.25">
      <c r="S92">
        <f t="shared" si="5"/>
        <v>1002.5199999999968</v>
      </c>
      <c r="T92">
        <f t="shared" si="4"/>
        <v>1</v>
      </c>
    </row>
    <row r="93" spans="19:20" x14ac:dyDescent="0.25">
      <c r="S93">
        <f t="shared" si="5"/>
        <v>1002.5599999999968</v>
      </c>
      <c r="T93">
        <f t="shared" si="4"/>
        <v>1</v>
      </c>
    </row>
    <row r="94" spans="19:20" x14ac:dyDescent="0.25">
      <c r="S94">
        <f t="shared" si="5"/>
        <v>1002.5999999999967</v>
      </c>
      <c r="T94">
        <f t="shared" si="4"/>
        <v>1</v>
      </c>
    </row>
    <row r="95" spans="19:20" x14ac:dyDescent="0.25">
      <c r="S95">
        <f t="shared" si="5"/>
        <v>1002.6399999999967</v>
      </c>
      <c r="T95">
        <f t="shared" si="4"/>
        <v>1</v>
      </c>
    </row>
    <row r="96" spans="19:20" x14ac:dyDescent="0.25">
      <c r="S96">
        <f t="shared" si="5"/>
        <v>1002.6799999999967</v>
      </c>
      <c r="T96">
        <f t="shared" si="4"/>
        <v>1</v>
      </c>
    </row>
    <row r="97" spans="19:20" x14ac:dyDescent="0.25">
      <c r="S97">
        <f t="shared" si="5"/>
        <v>1002.7199999999966</v>
      </c>
      <c r="T97">
        <f t="shared" si="4"/>
        <v>1</v>
      </c>
    </row>
    <row r="98" spans="19:20" x14ac:dyDescent="0.25">
      <c r="S98">
        <f t="shared" si="5"/>
        <v>1002.7599999999966</v>
      </c>
      <c r="T98">
        <f t="shared" si="4"/>
        <v>1</v>
      </c>
    </row>
    <row r="99" spans="19:20" x14ac:dyDescent="0.25">
      <c r="S99">
        <f t="shared" si="5"/>
        <v>1002.7999999999965</v>
      </c>
      <c r="T99">
        <f t="shared" si="4"/>
        <v>1</v>
      </c>
    </row>
    <row r="100" spans="19:20" x14ac:dyDescent="0.25">
      <c r="S100">
        <f t="shared" si="5"/>
        <v>1002.8399999999965</v>
      </c>
      <c r="T100">
        <f t="shared" si="4"/>
        <v>1</v>
      </c>
    </row>
    <row r="101" spans="19:20" x14ac:dyDescent="0.25">
      <c r="S101">
        <f t="shared" si="5"/>
        <v>1002.8799999999965</v>
      </c>
      <c r="T101">
        <f t="shared" si="4"/>
        <v>1</v>
      </c>
    </row>
    <row r="102" spans="19:20" x14ac:dyDescent="0.25">
      <c r="S102">
        <f t="shared" si="5"/>
        <v>1002.9199999999964</v>
      </c>
      <c r="T102">
        <f t="shared" si="4"/>
        <v>1</v>
      </c>
    </row>
    <row r="103" spans="19:20" x14ac:dyDescent="0.25">
      <c r="S103">
        <f t="shared" si="5"/>
        <v>1002.9599999999964</v>
      </c>
      <c r="T103">
        <f t="shared" si="4"/>
        <v>1</v>
      </c>
    </row>
    <row r="104" spans="19:20" x14ac:dyDescent="0.25">
      <c r="S104">
        <f t="shared" si="5"/>
        <v>1002.9999999999964</v>
      </c>
      <c r="T104">
        <f t="shared" si="4"/>
        <v>1</v>
      </c>
    </row>
    <row r="105" spans="19:20" x14ac:dyDescent="0.25">
      <c r="S105">
        <f t="shared" si="5"/>
        <v>1003.0399999999963</v>
      </c>
      <c r="T105">
        <f t="shared" si="4"/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2" sqref="P2:P12"/>
    </sheetView>
  </sheetViews>
  <sheetFormatPr defaultRowHeight="15" x14ac:dyDescent="0.25"/>
  <cols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229</v>
      </c>
      <c r="B1" s="30" t="s">
        <v>219</v>
      </c>
      <c r="P1" t="s">
        <v>222</v>
      </c>
      <c r="Q1" t="s">
        <v>223</v>
      </c>
    </row>
    <row r="2" spans="1:20" x14ac:dyDescent="0.25">
      <c r="A2">
        <v>0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f>A$2+B3*($A$12-$A$2)</f>
        <v>0.4</v>
      </c>
      <c r="B3">
        <v>0.2</v>
      </c>
      <c r="P3" s="28">
        <f t="shared" ref="P3:P12" si="0">(1-EXP($B$14*(A3-MIN($A$2:$A$12))^$B$15))/$B$16</f>
        <v>0.20000000444089208</v>
      </c>
      <c r="Q3" s="28">
        <f t="shared" ref="Q3:Q12" si="1">(P3-B3)^2</f>
        <v>1.9721522384006262E-17</v>
      </c>
      <c r="S3" t="s">
        <v>225</v>
      </c>
      <c r="T3" t="s">
        <v>226</v>
      </c>
    </row>
    <row r="4" spans="1:20" x14ac:dyDescent="0.25">
      <c r="A4">
        <f t="shared" ref="A4:A11" si="2">A$2+B4*($A$12-$A$2)</f>
        <v>0.8</v>
      </c>
      <c r="B4">
        <v>0.4</v>
      </c>
      <c r="P4" s="28">
        <f t="shared" si="0"/>
        <v>0.39999999777955397</v>
      </c>
      <c r="Q4" s="28">
        <f t="shared" si="1"/>
        <v>4.9303806576313238E-18</v>
      </c>
      <c r="S4">
        <f>MIN(A2:A12)</f>
        <v>0</v>
      </c>
      <c r="T4">
        <f>IF(S4&lt;=MIN($A$2:$A$12),0,IF(S4&gt;=MAX($A$2:$A$12),1,(1/$B$16)*(1-EXP($B$14*(S4-MIN($A$2:$A$12))^$B$15))))</f>
        <v>0</v>
      </c>
    </row>
    <row r="5" spans="1:20" x14ac:dyDescent="0.25">
      <c r="A5">
        <f t="shared" si="2"/>
        <v>1</v>
      </c>
      <c r="B5">
        <v>0.5</v>
      </c>
      <c r="P5" s="28">
        <f t="shared" si="0"/>
        <v>0.49999999444888493</v>
      </c>
      <c r="Q5" s="28">
        <f t="shared" si="1"/>
        <v>3.0814878493898191E-17</v>
      </c>
      <c r="S5">
        <f>S4+(MAX($A$2:$A$12)-$S$4)/50</f>
        <v>0.04</v>
      </c>
      <c r="T5">
        <f t="shared" ref="T5:T68" si="3">IF(S5&lt;=MIN($A$2:$A$12),0,IF(S5&gt;=MAX($A$2:$A$12),1,(1/$B$16)*(1-EXP($B$14*(S5-MIN($A$2:$A$12))^$B$15))))</f>
        <v>2.0000001554312224E-2</v>
      </c>
    </row>
    <row r="6" spans="1:20" x14ac:dyDescent="0.25">
      <c r="A6">
        <f t="shared" si="2"/>
        <v>1.2</v>
      </c>
      <c r="B6">
        <v>0.6</v>
      </c>
      <c r="P6" s="28">
        <f t="shared" si="0"/>
        <v>0.60000000222044603</v>
      </c>
      <c r="Q6" s="28">
        <f t="shared" si="1"/>
        <v>4.9303806576313238E-18</v>
      </c>
      <c r="S6">
        <f t="shared" ref="S6:S69" si="4">S5+(MAX($A$2:$A$12)-$S$4)/50</f>
        <v>0.08</v>
      </c>
      <c r="T6">
        <f t="shared" si="3"/>
        <v>4.0000003108624449E-2</v>
      </c>
    </row>
    <row r="7" spans="1:20" x14ac:dyDescent="0.25">
      <c r="A7">
        <f t="shared" si="2"/>
        <v>1.4</v>
      </c>
      <c r="B7">
        <v>0.7</v>
      </c>
      <c r="P7" s="28">
        <f t="shared" si="0"/>
        <v>0.69999999888977693</v>
      </c>
      <c r="Q7" s="28">
        <f t="shared" si="1"/>
        <v>1.2325951644078309E-18</v>
      </c>
      <c r="S7">
        <f t="shared" si="4"/>
        <v>0.12</v>
      </c>
      <c r="T7">
        <f t="shared" si="3"/>
        <v>6.0000004662936673E-2</v>
      </c>
    </row>
    <row r="8" spans="1:20" x14ac:dyDescent="0.25">
      <c r="A8">
        <f t="shared" si="2"/>
        <v>1.6</v>
      </c>
      <c r="B8">
        <v>0.8</v>
      </c>
      <c r="P8" s="28">
        <f t="shared" si="0"/>
        <v>0.80000000666133808</v>
      </c>
      <c r="Q8" s="28">
        <f t="shared" si="1"/>
        <v>4.4373424439567729E-17</v>
      </c>
      <c r="S8">
        <f t="shared" si="4"/>
        <v>0.16</v>
      </c>
      <c r="T8">
        <f t="shared" si="3"/>
        <v>7.9999995115018707E-2</v>
      </c>
    </row>
    <row r="9" spans="1:20" x14ac:dyDescent="0.25">
      <c r="A9">
        <f t="shared" si="2"/>
        <v>1.7</v>
      </c>
      <c r="B9">
        <v>0.85</v>
      </c>
      <c r="P9" s="28">
        <f t="shared" si="0"/>
        <v>0.84999999944488847</v>
      </c>
      <c r="Q9" s="28">
        <f t="shared" si="1"/>
        <v>3.0814879110195774E-19</v>
      </c>
      <c r="S9">
        <f t="shared" si="4"/>
        <v>0.2</v>
      </c>
      <c r="T9">
        <f t="shared" si="3"/>
        <v>9.9999996669330932E-2</v>
      </c>
    </row>
    <row r="10" spans="1:20" x14ac:dyDescent="0.25">
      <c r="A10">
        <f t="shared" si="2"/>
        <v>1.8</v>
      </c>
      <c r="B10">
        <v>0.9</v>
      </c>
      <c r="P10" s="28">
        <f t="shared" si="0"/>
        <v>0.9000000033306691</v>
      </c>
      <c r="Q10" s="28">
        <f t="shared" si="1"/>
        <v>1.1093356479670479E-17</v>
      </c>
      <c r="S10">
        <f t="shared" si="4"/>
        <v>0.24000000000000002</v>
      </c>
      <c r="T10">
        <f t="shared" si="3"/>
        <v>0.11999999822364316</v>
      </c>
    </row>
    <row r="11" spans="1:20" x14ac:dyDescent="0.25">
      <c r="A11">
        <f t="shared" si="2"/>
        <v>1.9</v>
      </c>
      <c r="B11">
        <v>0.95</v>
      </c>
      <c r="P11" s="28">
        <f t="shared" si="0"/>
        <v>0.95000000721644962</v>
      </c>
      <c r="Q11" s="28">
        <f t="shared" si="1"/>
        <v>5.2077145696230857E-17</v>
      </c>
      <c r="S11">
        <f t="shared" si="4"/>
        <v>0.28000000000000003</v>
      </c>
      <c r="T11">
        <f t="shared" si="3"/>
        <v>0.13999999977795538</v>
      </c>
    </row>
    <row r="12" spans="1:20" x14ac:dyDescent="0.25">
      <c r="A12">
        <v>2</v>
      </c>
      <c r="B12">
        <v>1</v>
      </c>
      <c r="P12" s="28">
        <f t="shared" si="0"/>
        <v>1</v>
      </c>
      <c r="Q12" s="28">
        <f t="shared" si="1"/>
        <v>0</v>
      </c>
      <c r="S12">
        <f t="shared" si="4"/>
        <v>0.32</v>
      </c>
      <c r="T12">
        <f t="shared" si="3"/>
        <v>0.16000000133226761</v>
      </c>
    </row>
    <row r="13" spans="1:20" x14ac:dyDescent="0.25">
      <c r="S13">
        <f t="shared" si="4"/>
        <v>0.36</v>
      </c>
      <c r="T13">
        <f t="shared" si="3"/>
        <v>0.18000000288657983</v>
      </c>
    </row>
    <row r="14" spans="1:20" x14ac:dyDescent="0.25">
      <c r="A14" t="s">
        <v>220</v>
      </c>
      <c r="B14" s="29">
        <v>1E-8</v>
      </c>
      <c r="O14" t="s">
        <v>224</v>
      </c>
      <c r="Q14" s="28">
        <f>SUM(Q2:Q12)</f>
        <v>1.6948183276414594E-16</v>
      </c>
      <c r="S14">
        <f t="shared" si="4"/>
        <v>0.39999999999999997</v>
      </c>
      <c r="T14">
        <f t="shared" si="3"/>
        <v>0.20000000444089205</v>
      </c>
    </row>
    <row r="15" spans="1:20" x14ac:dyDescent="0.25">
      <c r="A15" t="s">
        <v>228</v>
      </c>
      <c r="B15" s="28">
        <v>1</v>
      </c>
      <c r="S15">
        <f t="shared" si="4"/>
        <v>0.43999999999999995</v>
      </c>
      <c r="T15">
        <f t="shared" si="3"/>
        <v>0.21999999489297409</v>
      </c>
    </row>
    <row r="16" spans="1:20" x14ac:dyDescent="0.25">
      <c r="A16" t="s">
        <v>221</v>
      </c>
      <c r="B16" s="28">
        <f>1-EXP($B$14*(MAX($A$2:$A$12)-MIN($A$2:$A$12))^$B$15)</f>
        <v>-2.0000000100495186E-8</v>
      </c>
      <c r="S16">
        <f t="shared" si="4"/>
        <v>0.47999999999999993</v>
      </c>
      <c r="T16">
        <f t="shared" si="3"/>
        <v>0.23999999644728631</v>
      </c>
    </row>
    <row r="17" spans="19:20" x14ac:dyDescent="0.25">
      <c r="S17">
        <f t="shared" si="4"/>
        <v>0.51999999999999991</v>
      </c>
      <c r="T17">
        <f t="shared" si="3"/>
        <v>0.25999999800159856</v>
      </c>
    </row>
    <row r="18" spans="19:20" x14ac:dyDescent="0.25">
      <c r="S18">
        <f t="shared" si="4"/>
        <v>0.55999999999999994</v>
      </c>
      <c r="T18">
        <f t="shared" si="3"/>
        <v>0.27999999955591076</v>
      </c>
    </row>
    <row r="19" spans="19:20" x14ac:dyDescent="0.25">
      <c r="S19">
        <f t="shared" si="4"/>
        <v>0.6</v>
      </c>
      <c r="T19">
        <f t="shared" si="3"/>
        <v>0.30000000111022301</v>
      </c>
    </row>
    <row r="20" spans="19:20" x14ac:dyDescent="0.25">
      <c r="S20">
        <f t="shared" si="4"/>
        <v>0.64</v>
      </c>
      <c r="T20">
        <f t="shared" si="3"/>
        <v>0.32000000266453521</v>
      </c>
    </row>
    <row r="21" spans="19:20" x14ac:dyDescent="0.25">
      <c r="S21">
        <f t="shared" si="4"/>
        <v>0.68</v>
      </c>
      <c r="T21">
        <f t="shared" si="3"/>
        <v>0.34000000421884746</v>
      </c>
    </row>
    <row r="22" spans="19:20" x14ac:dyDescent="0.25">
      <c r="S22">
        <f t="shared" si="4"/>
        <v>0.72000000000000008</v>
      </c>
      <c r="T22">
        <f t="shared" si="3"/>
        <v>0.35999999467092947</v>
      </c>
    </row>
    <row r="23" spans="19:20" x14ac:dyDescent="0.25">
      <c r="S23">
        <f t="shared" si="4"/>
        <v>0.76000000000000012</v>
      </c>
      <c r="T23">
        <f t="shared" si="3"/>
        <v>0.37999999622524172</v>
      </c>
    </row>
    <row r="24" spans="19:20" x14ac:dyDescent="0.25">
      <c r="S24">
        <f t="shared" si="4"/>
        <v>0.80000000000000016</v>
      </c>
      <c r="T24">
        <f t="shared" si="3"/>
        <v>0.39999999777955392</v>
      </c>
    </row>
    <row r="25" spans="19:20" x14ac:dyDescent="0.25">
      <c r="S25">
        <f t="shared" si="4"/>
        <v>0.84000000000000019</v>
      </c>
      <c r="T25">
        <f t="shared" si="3"/>
        <v>0.41999999933386617</v>
      </c>
    </row>
    <row r="26" spans="19:20" x14ac:dyDescent="0.25">
      <c r="S26">
        <f t="shared" si="4"/>
        <v>0.88000000000000023</v>
      </c>
      <c r="T26">
        <f t="shared" si="3"/>
        <v>0.44000000088817837</v>
      </c>
    </row>
    <row r="27" spans="19:20" x14ac:dyDescent="0.25">
      <c r="S27">
        <f t="shared" si="4"/>
        <v>0.92000000000000026</v>
      </c>
      <c r="T27">
        <f t="shared" si="3"/>
        <v>0.46000000244249062</v>
      </c>
    </row>
    <row r="28" spans="19:20" x14ac:dyDescent="0.25">
      <c r="S28">
        <f t="shared" si="4"/>
        <v>0.9600000000000003</v>
      </c>
      <c r="T28">
        <f t="shared" si="3"/>
        <v>0.48000000399680282</v>
      </c>
    </row>
    <row r="29" spans="19:20" x14ac:dyDescent="0.25">
      <c r="S29">
        <f t="shared" si="4"/>
        <v>1.0000000000000002</v>
      </c>
      <c r="T29">
        <f t="shared" si="3"/>
        <v>0.49999999444888488</v>
      </c>
    </row>
    <row r="30" spans="19:20" x14ac:dyDescent="0.25">
      <c r="S30">
        <f t="shared" si="4"/>
        <v>1.0400000000000003</v>
      </c>
      <c r="T30">
        <f t="shared" si="3"/>
        <v>0.51999999600319713</v>
      </c>
    </row>
    <row r="31" spans="19:20" x14ac:dyDescent="0.25">
      <c r="S31">
        <f t="shared" si="4"/>
        <v>1.0800000000000003</v>
      </c>
      <c r="T31">
        <f t="shared" si="3"/>
        <v>0.53999999755750927</v>
      </c>
    </row>
    <row r="32" spans="19:20" x14ac:dyDescent="0.25">
      <c r="S32">
        <f t="shared" si="4"/>
        <v>1.1200000000000003</v>
      </c>
      <c r="T32">
        <f t="shared" si="3"/>
        <v>0.55999999911182152</v>
      </c>
    </row>
    <row r="33" spans="19:20" x14ac:dyDescent="0.25">
      <c r="S33">
        <f t="shared" si="4"/>
        <v>1.1600000000000004</v>
      </c>
      <c r="T33">
        <f t="shared" si="3"/>
        <v>0.58000000066613377</v>
      </c>
    </row>
    <row r="34" spans="19:20" x14ac:dyDescent="0.25">
      <c r="S34">
        <f t="shared" si="4"/>
        <v>1.2000000000000004</v>
      </c>
      <c r="T34">
        <f t="shared" si="3"/>
        <v>0.60000000222044603</v>
      </c>
    </row>
    <row r="35" spans="19:20" x14ac:dyDescent="0.25">
      <c r="S35">
        <f t="shared" si="4"/>
        <v>1.2400000000000004</v>
      </c>
      <c r="T35">
        <f t="shared" si="3"/>
        <v>0.62000000377475817</v>
      </c>
    </row>
    <row r="36" spans="19:20" x14ac:dyDescent="0.25">
      <c r="S36">
        <f t="shared" si="4"/>
        <v>1.2800000000000005</v>
      </c>
      <c r="T36">
        <f t="shared" si="3"/>
        <v>0.64000000532907042</v>
      </c>
    </row>
    <row r="37" spans="19:20" x14ac:dyDescent="0.25">
      <c r="S37">
        <f t="shared" si="4"/>
        <v>1.3200000000000005</v>
      </c>
      <c r="T37">
        <f t="shared" si="3"/>
        <v>0.65999999578115243</v>
      </c>
    </row>
    <row r="38" spans="19:20" x14ac:dyDescent="0.25">
      <c r="S38">
        <f t="shared" si="4"/>
        <v>1.3600000000000005</v>
      </c>
      <c r="T38">
        <f t="shared" si="3"/>
        <v>0.67999999733546468</v>
      </c>
    </row>
    <row r="39" spans="19:20" x14ac:dyDescent="0.25">
      <c r="S39">
        <f t="shared" si="4"/>
        <v>1.4000000000000006</v>
      </c>
      <c r="T39">
        <f t="shared" si="3"/>
        <v>0.69999999888977693</v>
      </c>
    </row>
    <row r="40" spans="19:20" x14ac:dyDescent="0.25">
      <c r="S40">
        <f t="shared" si="4"/>
        <v>1.4400000000000006</v>
      </c>
      <c r="T40">
        <f t="shared" si="3"/>
        <v>0.72000000044408918</v>
      </c>
    </row>
    <row r="41" spans="19:20" x14ac:dyDescent="0.25">
      <c r="S41">
        <f t="shared" si="4"/>
        <v>1.4800000000000006</v>
      </c>
      <c r="T41">
        <f t="shared" si="3"/>
        <v>0.74000000199840144</v>
      </c>
    </row>
    <row r="42" spans="19:20" x14ac:dyDescent="0.25">
      <c r="S42">
        <f t="shared" si="4"/>
        <v>1.5200000000000007</v>
      </c>
      <c r="T42">
        <f t="shared" si="3"/>
        <v>0.76000000355271358</v>
      </c>
    </row>
    <row r="43" spans="19:20" x14ac:dyDescent="0.25">
      <c r="S43">
        <f t="shared" si="4"/>
        <v>1.5600000000000007</v>
      </c>
      <c r="T43">
        <f t="shared" si="3"/>
        <v>0.78000000510702583</v>
      </c>
    </row>
    <row r="44" spans="19:20" x14ac:dyDescent="0.25">
      <c r="S44">
        <f t="shared" si="4"/>
        <v>1.6000000000000008</v>
      </c>
      <c r="T44">
        <f t="shared" si="3"/>
        <v>0.80000000666133808</v>
      </c>
    </row>
    <row r="45" spans="19:20" x14ac:dyDescent="0.25">
      <c r="S45">
        <f t="shared" si="4"/>
        <v>1.6400000000000008</v>
      </c>
      <c r="T45">
        <f t="shared" si="3"/>
        <v>0.81999999711342009</v>
      </c>
    </row>
    <row r="46" spans="19:20" x14ac:dyDescent="0.25">
      <c r="S46">
        <f t="shared" si="4"/>
        <v>1.6800000000000008</v>
      </c>
      <c r="T46">
        <f t="shared" si="3"/>
        <v>0.83999999866773234</v>
      </c>
    </row>
    <row r="47" spans="19:20" x14ac:dyDescent="0.25">
      <c r="S47">
        <f t="shared" si="4"/>
        <v>1.7200000000000009</v>
      </c>
      <c r="T47">
        <f t="shared" si="3"/>
        <v>0.86000000022204459</v>
      </c>
    </row>
    <row r="48" spans="19:20" x14ac:dyDescent="0.25">
      <c r="S48">
        <f t="shared" si="4"/>
        <v>1.7600000000000009</v>
      </c>
      <c r="T48">
        <f t="shared" si="3"/>
        <v>0.88000000177635673</v>
      </c>
    </row>
    <row r="49" spans="19:20" x14ac:dyDescent="0.25">
      <c r="S49">
        <f t="shared" si="4"/>
        <v>1.8000000000000009</v>
      </c>
      <c r="T49">
        <f t="shared" si="3"/>
        <v>0.90000000333066899</v>
      </c>
    </row>
    <row r="50" spans="19:20" x14ac:dyDescent="0.25">
      <c r="S50">
        <f t="shared" si="4"/>
        <v>1.840000000000001</v>
      </c>
      <c r="T50">
        <f t="shared" si="3"/>
        <v>0.92000000488498124</v>
      </c>
    </row>
    <row r="51" spans="19:20" x14ac:dyDescent="0.25">
      <c r="S51">
        <f t="shared" si="4"/>
        <v>1.880000000000001</v>
      </c>
      <c r="T51">
        <f t="shared" si="3"/>
        <v>0.94000000643929349</v>
      </c>
    </row>
    <row r="52" spans="19:20" x14ac:dyDescent="0.25">
      <c r="S52">
        <f t="shared" si="4"/>
        <v>1.920000000000001</v>
      </c>
      <c r="T52">
        <f t="shared" si="3"/>
        <v>0.96000000799360563</v>
      </c>
    </row>
    <row r="53" spans="19:20" x14ac:dyDescent="0.25">
      <c r="S53">
        <f t="shared" si="4"/>
        <v>1.9600000000000011</v>
      </c>
      <c r="T53">
        <f t="shared" si="3"/>
        <v>0.98000000954791788</v>
      </c>
    </row>
    <row r="54" spans="19:20" x14ac:dyDescent="0.25">
      <c r="S54">
        <f t="shared" si="4"/>
        <v>2.0000000000000009</v>
      </c>
      <c r="T54">
        <f t="shared" si="3"/>
        <v>1</v>
      </c>
    </row>
    <row r="55" spans="19:20" x14ac:dyDescent="0.25">
      <c r="S55">
        <f t="shared" si="4"/>
        <v>2.0400000000000009</v>
      </c>
      <c r="T55">
        <f t="shared" si="3"/>
        <v>1</v>
      </c>
    </row>
    <row r="56" spans="19:20" x14ac:dyDescent="0.25">
      <c r="S56">
        <f t="shared" si="4"/>
        <v>2.080000000000001</v>
      </c>
      <c r="T56">
        <f t="shared" si="3"/>
        <v>1</v>
      </c>
    </row>
    <row r="57" spans="19:20" x14ac:dyDescent="0.25">
      <c r="S57">
        <f t="shared" si="4"/>
        <v>2.120000000000001</v>
      </c>
      <c r="T57">
        <f t="shared" si="3"/>
        <v>1</v>
      </c>
    </row>
    <row r="58" spans="19:20" x14ac:dyDescent="0.25">
      <c r="S58">
        <f t="shared" si="4"/>
        <v>2.160000000000001</v>
      </c>
      <c r="T58">
        <f t="shared" si="3"/>
        <v>1</v>
      </c>
    </row>
    <row r="59" spans="19:20" x14ac:dyDescent="0.25">
      <c r="S59">
        <f t="shared" si="4"/>
        <v>2.2000000000000011</v>
      </c>
      <c r="T59">
        <f t="shared" si="3"/>
        <v>1</v>
      </c>
    </row>
    <row r="60" spans="19:20" x14ac:dyDescent="0.25">
      <c r="S60">
        <f t="shared" si="4"/>
        <v>2.2400000000000011</v>
      </c>
      <c r="T60">
        <f t="shared" si="3"/>
        <v>1</v>
      </c>
    </row>
    <row r="61" spans="19:20" x14ac:dyDescent="0.25">
      <c r="S61">
        <f t="shared" si="4"/>
        <v>2.2800000000000011</v>
      </c>
      <c r="T61">
        <f t="shared" si="3"/>
        <v>1</v>
      </c>
    </row>
    <row r="62" spans="19:20" x14ac:dyDescent="0.25">
      <c r="S62">
        <f t="shared" si="4"/>
        <v>2.3200000000000012</v>
      </c>
      <c r="T62">
        <f t="shared" si="3"/>
        <v>1</v>
      </c>
    </row>
    <row r="63" spans="19:20" x14ac:dyDescent="0.25">
      <c r="S63">
        <f t="shared" si="4"/>
        <v>2.3600000000000012</v>
      </c>
      <c r="T63">
        <f t="shared" si="3"/>
        <v>1</v>
      </c>
    </row>
    <row r="64" spans="19:20" x14ac:dyDescent="0.25">
      <c r="S64">
        <f t="shared" si="4"/>
        <v>2.4000000000000012</v>
      </c>
      <c r="T64">
        <f t="shared" si="3"/>
        <v>1</v>
      </c>
    </row>
    <row r="65" spans="19:20" x14ac:dyDescent="0.25">
      <c r="S65">
        <f t="shared" si="4"/>
        <v>2.4400000000000013</v>
      </c>
      <c r="T65">
        <f t="shared" si="3"/>
        <v>1</v>
      </c>
    </row>
    <row r="66" spans="19:20" x14ac:dyDescent="0.25">
      <c r="S66">
        <f t="shared" si="4"/>
        <v>2.4800000000000013</v>
      </c>
      <c r="T66">
        <f t="shared" si="3"/>
        <v>1</v>
      </c>
    </row>
    <row r="67" spans="19:20" x14ac:dyDescent="0.25">
      <c r="S67">
        <f t="shared" si="4"/>
        <v>2.5200000000000014</v>
      </c>
      <c r="T67">
        <f t="shared" si="3"/>
        <v>1</v>
      </c>
    </row>
    <row r="68" spans="19:20" x14ac:dyDescent="0.25">
      <c r="S68">
        <f t="shared" si="4"/>
        <v>2.5600000000000014</v>
      </c>
      <c r="T68">
        <f t="shared" si="3"/>
        <v>1</v>
      </c>
    </row>
    <row r="69" spans="19:20" x14ac:dyDescent="0.25">
      <c r="S69">
        <f t="shared" si="4"/>
        <v>2.6000000000000014</v>
      </c>
      <c r="T69">
        <f t="shared" ref="T69:T105" si="5">IF(S69&lt;=MIN($A$2:$A$12),0,IF(S69&gt;=MAX($A$2:$A$12),1,(1/$B$16)*(1-EXP($B$14*(S69-MIN($A$2:$A$12))^$B$15))))</f>
        <v>1</v>
      </c>
    </row>
    <row r="70" spans="19:20" x14ac:dyDescent="0.25">
      <c r="S70">
        <f t="shared" ref="S70:S105" si="6">S69+(MAX($A$2:$A$12)-$S$4)/50</f>
        <v>2.6400000000000015</v>
      </c>
      <c r="T70">
        <f t="shared" si="5"/>
        <v>1</v>
      </c>
    </row>
    <row r="71" spans="19:20" x14ac:dyDescent="0.25">
      <c r="S71">
        <f t="shared" si="6"/>
        <v>2.6800000000000015</v>
      </c>
      <c r="T71">
        <f t="shared" si="5"/>
        <v>1</v>
      </c>
    </row>
    <row r="72" spans="19:20" x14ac:dyDescent="0.25">
      <c r="S72">
        <f t="shared" si="6"/>
        <v>2.7200000000000015</v>
      </c>
      <c r="T72">
        <f t="shared" si="5"/>
        <v>1</v>
      </c>
    </row>
    <row r="73" spans="19:20" x14ac:dyDescent="0.25">
      <c r="S73">
        <f t="shared" si="6"/>
        <v>2.7600000000000016</v>
      </c>
      <c r="T73">
        <f t="shared" si="5"/>
        <v>1</v>
      </c>
    </row>
    <row r="74" spans="19:20" x14ac:dyDescent="0.25">
      <c r="S74">
        <f t="shared" si="6"/>
        <v>2.8000000000000016</v>
      </c>
      <c r="T74">
        <f t="shared" si="5"/>
        <v>1</v>
      </c>
    </row>
    <row r="75" spans="19:20" x14ac:dyDescent="0.25">
      <c r="S75">
        <f t="shared" si="6"/>
        <v>2.8400000000000016</v>
      </c>
      <c r="T75">
        <f t="shared" si="5"/>
        <v>1</v>
      </c>
    </row>
    <row r="76" spans="19:20" x14ac:dyDescent="0.25">
      <c r="S76">
        <f t="shared" si="6"/>
        <v>2.8800000000000017</v>
      </c>
      <c r="T76">
        <f t="shared" si="5"/>
        <v>1</v>
      </c>
    </row>
    <row r="77" spans="19:20" x14ac:dyDescent="0.25">
      <c r="S77">
        <f t="shared" si="6"/>
        <v>2.9200000000000017</v>
      </c>
      <c r="T77">
        <f t="shared" si="5"/>
        <v>1</v>
      </c>
    </row>
    <row r="78" spans="19:20" x14ac:dyDescent="0.25">
      <c r="S78">
        <f t="shared" si="6"/>
        <v>2.9600000000000017</v>
      </c>
      <c r="T78">
        <f t="shared" si="5"/>
        <v>1</v>
      </c>
    </row>
    <row r="79" spans="19:20" x14ac:dyDescent="0.25">
      <c r="S79">
        <f t="shared" si="6"/>
        <v>3.0000000000000018</v>
      </c>
      <c r="T79">
        <f t="shared" si="5"/>
        <v>1</v>
      </c>
    </row>
    <row r="80" spans="19:20" x14ac:dyDescent="0.25">
      <c r="S80">
        <f t="shared" si="6"/>
        <v>3.0400000000000018</v>
      </c>
      <c r="T80">
        <f t="shared" si="5"/>
        <v>1</v>
      </c>
    </row>
    <row r="81" spans="19:20" x14ac:dyDescent="0.25">
      <c r="S81">
        <f t="shared" si="6"/>
        <v>3.0800000000000018</v>
      </c>
      <c r="T81">
        <f t="shared" si="5"/>
        <v>1</v>
      </c>
    </row>
    <row r="82" spans="19:20" x14ac:dyDescent="0.25">
      <c r="S82">
        <f t="shared" si="6"/>
        <v>3.1200000000000019</v>
      </c>
      <c r="T82">
        <f t="shared" si="5"/>
        <v>1</v>
      </c>
    </row>
    <row r="83" spans="19:20" x14ac:dyDescent="0.25">
      <c r="S83">
        <f t="shared" si="6"/>
        <v>3.1600000000000019</v>
      </c>
      <c r="T83">
        <f t="shared" si="5"/>
        <v>1</v>
      </c>
    </row>
    <row r="84" spans="19:20" x14ac:dyDescent="0.25">
      <c r="S84">
        <f t="shared" si="6"/>
        <v>3.200000000000002</v>
      </c>
      <c r="T84">
        <f t="shared" si="5"/>
        <v>1</v>
      </c>
    </row>
    <row r="85" spans="19:20" x14ac:dyDescent="0.25">
      <c r="S85">
        <f t="shared" si="6"/>
        <v>3.240000000000002</v>
      </c>
      <c r="T85">
        <f t="shared" si="5"/>
        <v>1</v>
      </c>
    </row>
    <row r="86" spans="19:20" x14ac:dyDescent="0.25">
      <c r="S86">
        <f t="shared" si="6"/>
        <v>3.280000000000002</v>
      </c>
      <c r="T86">
        <f t="shared" si="5"/>
        <v>1</v>
      </c>
    </row>
    <row r="87" spans="19:20" x14ac:dyDescent="0.25">
      <c r="S87">
        <f t="shared" si="6"/>
        <v>3.3200000000000021</v>
      </c>
      <c r="T87">
        <f t="shared" si="5"/>
        <v>1</v>
      </c>
    </row>
    <row r="88" spans="19:20" x14ac:dyDescent="0.25">
      <c r="S88">
        <f t="shared" si="6"/>
        <v>3.3600000000000021</v>
      </c>
      <c r="T88">
        <f t="shared" si="5"/>
        <v>1</v>
      </c>
    </row>
    <row r="89" spans="19:20" x14ac:dyDescent="0.25">
      <c r="S89">
        <f t="shared" si="6"/>
        <v>3.4000000000000021</v>
      </c>
      <c r="T89">
        <f t="shared" si="5"/>
        <v>1</v>
      </c>
    </row>
    <row r="90" spans="19:20" x14ac:dyDescent="0.25">
      <c r="S90">
        <f t="shared" si="6"/>
        <v>3.4400000000000022</v>
      </c>
      <c r="T90">
        <f t="shared" si="5"/>
        <v>1</v>
      </c>
    </row>
    <row r="91" spans="19:20" x14ac:dyDescent="0.25">
      <c r="S91">
        <f t="shared" si="6"/>
        <v>3.4800000000000022</v>
      </c>
      <c r="T91">
        <f t="shared" si="5"/>
        <v>1</v>
      </c>
    </row>
    <row r="92" spans="19:20" x14ac:dyDescent="0.25">
      <c r="S92">
        <f t="shared" si="6"/>
        <v>3.5200000000000022</v>
      </c>
      <c r="T92">
        <f t="shared" si="5"/>
        <v>1</v>
      </c>
    </row>
    <row r="93" spans="19:20" x14ac:dyDescent="0.25">
      <c r="S93">
        <f t="shared" si="6"/>
        <v>3.5600000000000023</v>
      </c>
      <c r="T93">
        <f t="shared" si="5"/>
        <v>1</v>
      </c>
    </row>
    <row r="94" spans="19:20" x14ac:dyDescent="0.25">
      <c r="S94">
        <f t="shared" si="6"/>
        <v>3.6000000000000023</v>
      </c>
      <c r="T94">
        <f t="shared" si="5"/>
        <v>1</v>
      </c>
    </row>
    <row r="95" spans="19:20" x14ac:dyDescent="0.25">
      <c r="S95">
        <f t="shared" si="6"/>
        <v>3.6400000000000023</v>
      </c>
      <c r="T95">
        <f t="shared" si="5"/>
        <v>1</v>
      </c>
    </row>
    <row r="96" spans="19:20" x14ac:dyDescent="0.25">
      <c r="S96">
        <f t="shared" si="6"/>
        <v>3.6800000000000024</v>
      </c>
      <c r="T96">
        <f t="shared" si="5"/>
        <v>1</v>
      </c>
    </row>
    <row r="97" spans="19:20" x14ac:dyDescent="0.25">
      <c r="S97">
        <f t="shared" si="6"/>
        <v>3.7200000000000024</v>
      </c>
      <c r="T97">
        <f t="shared" si="5"/>
        <v>1</v>
      </c>
    </row>
    <row r="98" spans="19:20" x14ac:dyDescent="0.25">
      <c r="S98">
        <f t="shared" si="6"/>
        <v>3.7600000000000025</v>
      </c>
      <c r="T98">
        <f t="shared" si="5"/>
        <v>1</v>
      </c>
    </row>
    <row r="99" spans="19:20" x14ac:dyDescent="0.25">
      <c r="S99">
        <f t="shared" si="6"/>
        <v>3.8000000000000025</v>
      </c>
      <c r="T99">
        <f t="shared" si="5"/>
        <v>1</v>
      </c>
    </row>
    <row r="100" spans="19:20" x14ac:dyDescent="0.25">
      <c r="S100">
        <f t="shared" si="6"/>
        <v>3.8400000000000025</v>
      </c>
      <c r="T100">
        <f t="shared" si="5"/>
        <v>1</v>
      </c>
    </row>
    <row r="101" spans="19:20" x14ac:dyDescent="0.25">
      <c r="S101">
        <f t="shared" si="6"/>
        <v>3.8800000000000026</v>
      </c>
      <c r="T101">
        <f t="shared" si="5"/>
        <v>1</v>
      </c>
    </row>
    <row r="102" spans="19:20" x14ac:dyDescent="0.25">
      <c r="S102">
        <f t="shared" si="6"/>
        <v>3.9200000000000026</v>
      </c>
      <c r="T102">
        <f t="shared" si="5"/>
        <v>1</v>
      </c>
    </row>
    <row r="103" spans="19:20" x14ac:dyDescent="0.25">
      <c r="S103">
        <f t="shared" si="6"/>
        <v>3.9600000000000026</v>
      </c>
      <c r="T103">
        <f t="shared" si="5"/>
        <v>1</v>
      </c>
    </row>
    <row r="104" spans="19:20" x14ac:dyDescent="0.25">
      <c r="S104">
        <f t="shared" si="6"/>
        <v>4.0000000000000027</v>
      </c>
      <c r="T104">
        <f t="shared" si="5"/>
        <v>1</v>
      </c>
    </row>
    <row r="105" spans="19:20" x14ac:dyDescent="0.25">
      <c r="S105">
        <f t="shared" si="6"/>
        <v>4.0400000000000027</v>
      </c>
      <c r="T105">
        <f t="shared" si="5"/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2" sqref="P2:P12"/>
    </sheetView>
  </sheetViews>
  <sheetFormatPr defaultRowHeight="15" x14ac:dyDescent="0.25"/>
  <cols>
    <col min="1" max="1" width="13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230</v>
      </c>
      <c r="B1" s="30" t="s">
        <v>219</v>
      </c>
      <c r="P1" t="s">
        <v>222</v>
      </c>
      <c r="Q1" t="s">
        <v>223</v>
      </c>
    </row>
    <row r="2" spans="1:20" x14ac:dyDescent="0.25">
      <c r="A2">
        <v>150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v>160</v>
      </c>
      <c r="B3">
        <v>0.2</v>
      </c>
      <c r="P3" s="28">
        <f t="shared" ref="P3:P12" si="0">(1-EXP($B$14*(A3-MIN($A$2:$A$12))^$B$15))/$B$16</f>
        <v>0.20159627704554328</v>
      </c>
      <c r="Q3" s="28">
        <f t="shared" ref="Q3:Q12" si="1">(P3-B3)^2</f>
        <v>2.5481004061283528E-6</v>
      </c>
      <c r="S3" t="s">
        <v>225</v>
      </c>
      <c r="T3" t="s">
        <v>226</v>
      </c>
    </row>
    <row r="4" spans="1:20" x14ac:dyDescent="0.25">
      <c r="A4">
        <v>170</v>
      </c>
      <c r="B4">
        <v>0.4</v>
      </c>
      <c r="P4" s="28">
        <f t="shared" si="0"/>
        <v>0.33005735002348052</v>
      </c>
      <c r="Q4" s="28">
        <f t="shared" si="1"/>
        <v>4.8919742857379232E-3</v>
      </c>
      <c r="S4">
        <f>MIN(A2:A12)</f>
        <v>150</v>
      </c>
      <c r="T4">
        <f>IF(S4&lt;=MIN($A$2:$A$12),0,IF(S4&gt;=MAX($A$2:$A$12),1,(1/$B$16)*(1-EXP($B$14*(S4-MIN($A$2:$A$12))^$B$15))))</f>
        <v>0</v>
      </c>
    </row>
    <row r="5" spans="1:20" x14ac:dyDescent="0.25">
      <c r="A5">
        <v>200</v>
      </c>
      <c r="B5">
        <v>0.5</v>
      </c>
      <c r="P5" s="28">
        <f t="shared" si="0"/>
        <v>0.58329949431084305</v>
      </c>
      <c r="Q5" s="28">
        <f t="shared" si="1"/>
        <v>6.938805752442173E-3</v>
      </c>
      <c r="S5">
        <f>S4+(MAX($A$2:$A$12)-$S$4)/50</f>
        <v>154</v>
      </c>
      <c r="T5">
        <f t="shared" ref="T5:T68" si="2">IF(S5&lt;=MIN($A$2:$A$12),0,IF(S5&gt;=MAX($A$2:$A$12),1,(1/$B$16)*(1-EXP($B$14*(S5-MIN($A$2:$A$12))^$B$15))))</f>
        <v>0.1004744355239643</v>
      </c>
    </row>
    <row r="6" spans="1:20" x14ac:dyDescent="0.25">
      <c r="A6">
        <v>210</v>
      </c>
      <c r="B6">
        <v>0.6</v>
      </c>
      <c r="P6" s="28">
        <f t="shared" si="0"/>
        <v>0.64267965401749605</v>
      </c>
      <c r="Q6" s="28">
        <f t="shared" si="1"/>
        <v>1.8215528670531686E-3</v>
      </c>
      <c r="S6">
        <f t="shared" ref="S6:S69" si="3">S5+(MAX($A$2:$A$12)-$S$4)/50</f>
        <v>158</v>
      </c>
      <c r="T6">
        <f t="shared" si="2"/>
        <v>0.1707705312357877</v>
      </c>
    </row>
    <row r="7" spans="1:20" x14ac:dyDescent="0.25">
      <c r="A7">
        <v>225</v>
      </c>
      <c r="B7">
        <v>0.7</v>
      </c>
      <c r="P7" s="28">
        <f t="shared" si="0"/>
        <v>0.71685155074987228</v>
      </c>
      <c r="Q7" s="28">
        <f t="shared" si="1"/>
        <v>2.839747626755225E-4</v>
      </c>
      <c r="S7">
        <f t="shared" si="3"/>
        <v>162</v>
      </c>
      <c r="T7">
        <f t="shared" si="2"/>
        <v>0.23034360858717845</v>
      </c>
    </row>
    <row r="8" spans="1:20" x14ac:dyDescent="0.25">
      <c r="A8">
        <v>240</v>
      </c>
      <c r="B8">
        <v>0.8</v>
      </c>
      <c r="P8" s="28">
        <f t="shared" si="0"/>
        <v>0.77716857041826548</v>
      </c>
      <c r="Q8" s="28">
        <f t="shared" si="1"/>
        <v>5.2127417674570407E-4</v>
      </c>
      <c r="S8">
        <f t="shared" si="3"/>
        <v>166</v>
      </c>
      <c r="T8">
        <f t="shared" si="2"/>
        <v>0.2828568389910977</v>
      </c>
    </row>
    <row r="9" spans="1:20" x14ac:dyDescent="0.25">
      <c r="A9">
        <v>255</v>
      </c>
      <c r="B9">
        <v>0.85</v>
      </c>
      <c r="P9" s="28">
        <f t="shared" si="0"/>
        <v>0.82680739690877592</v>
      </c>
      <c r="Q9" s="28">
        <f t="shared" si="1"/>
        <v>5.3789683814705594E-4</v>
      </c>
      <c r="S9">
        <f t="shared" si="3"/>
        <v>170</v>
      </c>
      <c r="T9">
        <f t="shared" si="2"/>
        <v>0.33005735002348052</v>
      </c>
    </row>
    <row r="10" spans="1:20" x14ac:dyDescent="0.25">
      <c r="A10">
        <v>260</v>
      </c>
      <c r="B10">
        <v>0.9</v>
      </c>
      <c r="P10" s="28">
        <f t="shared" si="0"/>
        <v>0.84139098261057754</v>
      </c>
      <c r="Q10" s="28">
        <f t="shared" si="1"/>
        <v>3.4350169193536266E-3</v>
      </c>
      <c r="S10">
        <f t="shared" si="3"/>
        <v>174</v>
      </c>
      <c r="T10">
        <f t="shared" si="2"/>
        <v>0.37299167789759291</v>
      </c>
    </row>
    <row r="11" spans="1:20" x14ac:dyDescent="0.25">
      <c r="A11">
        <v>295</v>
      </c>
      <c r="B11">
        <v>0.95</v>
      </c>
      <c r="P11" s="28">
        <f t="shared" si="0"/>
        <v>0.92239868781835044</v>
      </c>
      <c r="Q11" s="28">
        <f t="shared" si="1"/>
        <v>7.6183243414887402E-4</v>
      </c>
      <c r="S11">
        <f t="shared" si="3"/>
        <v>178</v>
      </c>
      <c r="T11">
        <f t="shared" si="2"/>
        <v>0.41236590475225887</v>
      </c>
    </row>
    <row r="12" spans="1:20" x14ac:dyDescent="0.25">
      <c r="A12">
        <v>350</v>
      </c>
      <c r="B12">
        <v>1</v>
      </c>
      <c r="P12" s="28">
        <f t="shared" si="0"/>
        <v>1</v>
      </c>
      <c r="Q12" s="28">
        <f t="shared" si="1"/>
        <v>0</v>
      </c>
      <c r="S12">
        <f t="shared" si="3"/>
        <v>182</v>
      </c>
      <c r="T12">
        <f t="shared" si="2"/>
        <v>0.44869289771608123</v>
      </c>
    </row>
    <row r="13" spans="1:20" x14ac:dyDescent="0.25">
      <c r="S13">
        <f t="shared" si="3"/>
        <v>186</v>
      </c>
      <c r="T13">
        <f t="shared" si="2"/>
        <v>0.48236435758810969</v>
      </c>
    </row>
    <row r="14" spans="1:20" x14ac:dyDescent="0.25">
      <c r="A14" t="s">
        <v>220</v>
      </c>
      <c r="B14" s="29">
        <v>-3.0602235829904879E-2</v>
      </c>
      <c r="O14" t="s">
        <v>224</v>
      </c>
      <c r="Q14" s="28">
        <f>SUM(Q2:Q12)</f>
        <v>1.9194876136710174E-2</v>
      </c>
      <c r="S14">
        <f t="shared" si="3"/>
        <v>190</v>
      </c>
      <c r="T14">
        <f t="shared" si="2"/>
        <v>0.51369048538843232</v>
      </c>
    </row>
    <row r="15" spans="1:20" x14ac:dyDescent="0.25">
      <c r="A15" t="s">
        <v>228</v>
      </c>
      <c r="B15" s="28">
        <v>0.8161525932857765</v>
      </c>
      <c r="S15">
        <f t="shared" si="3"/>
        <v>194</v>
      </c>
      <c r="T15">
        <f t="shared" si="2"/>
        <v>0.5429237381183335</v>
      </c>
    </row>
    <row r="16" spans="1:20" x14ac:dyDescent="0.25">
      <c r="A16" t="s">
        <v>221</v>
      </c>
      <c r="B16" s="28">
        <f>1-EXP($B$14*(MAX($A$2:$A$12)-MIN($A$2:$A$12))^$B$15)</f>
        <v>0.90080883581225202</v>
      </c>
      <c r="S16">
        <f t="shared" si="3"/>
        <v>198</v>
      </c>
      <c r="T16">
        <f t="shared" si="2"/>
        <v>0.57027398675194896</v>
      </c>
    </row>
    <row r="17" spans="19:20" x14ac:dyDescent="0.25">
      <c r="S17">
        <f t="shared" si="3"/>
        <v>202</v>
      </c>
      <c r="T17">
        <f t="shared" si="2"/>
        <v>0.5959186797796604</v>
      </c>
    </row>
    <row r="18" spans="19:20" x14ac:dyDescent="0.25">
      <c r="S18">
        <f t="shared" si="3"/>
        <v>206</v>
      </c>
      <c r="T18">
        <f t="shared" si="2"/>
        <v>0.62000993518177838</v>
      </c>
    </row>
    <row r="19" spans="19:20" x14ac:dyDescent="0.25">
      <c r="S19">
        <f t="shared" si="3"/>
        <v>210</v>
      </c>
      <c r="T19">
        <f t="shared" si="2"/>
        <v>0.64267965401749594</v>
      </c>
    </row>
    <row r="20" spans="19:20" x14ac:dyDescent="0.25">
      <c r="S20">
        <f t="shared" si="3"/>
        <v>214</v>
      </c>
      <c r="T20">
        <f t="shared" si="2"/>
        <v>0.66404331002643624</v>
      </c>
    </row>
    <row r="21" spans="19:20" x14ac:dyDescent="0.25">
      <c r="S21">
        <f t="shared" si="3"/>
        <v>218</v>
      </c>
      <c r="T21">
        <f t="shared" si="2"/>
        <v>0.68420282415644862</v>
      </c>
    </row>
    <row r="22" spans="19:20" x14ac:dyDescent="0.25">
      <c r="S22">
        <f t="shared" si="3"/>
        <v>222</v>
      </c>
      <c r="T22">
        <f t="shared" si="2"/>
        <v>0.70324878898504817</v>
      </c>
    </row>
    <row r="23" spans="19:20" x14ac:dyDescent="0.25">
      <c r="S23">
        <f t="shared" si="3"/>
        <v>226</v>
      </c>
      <c r="T23">
        <f t="shared" si="2"/>
        <v>0.72126222015901387</v>
      </c>
    </row>
    <row r="24" spans="19:20" x14ac:dyDescent="0.25">
      <c r="S24">
        <f t="shared" si="3"/>
        <v>230</v>
      </c>
      <c r="T24">
        <f t="shared" si="2"/>
        <v>0.73831595649840676</v>
      </c>
    </row>
    <row r="25" spans="19:20" x14ac:dyDescent="0.25">
      <c r="S25">
        <f t="shared" si="3"/>
        <v>234</v>
      </c>
      <c r="T25">
        <f t="shared" si="2"/>
        <v>0.75447579431077649</v>
      </c>
    </row>
    <row r="26" spans="19:20" x14ac:dyDescent="0.25">
      <c r="S26">
        <f t="shared" si="3"/>
        <v>238</v>
      </c>
      <c r="T26">
        <f t="shared" si="2"/>
        <v>0.76980141734555207</v>
      </c>
    </row>
    <row r="27" spans="19:20" x14ac:dyDescent="0.25">
      <c r="S27">
        <f t="shared" si="3"/>
        <v>242</v>
      </c>
      <c r="T27">
        <f t="shared" si="2"/>
        <v>0.78434716732994669</v>
      </c>
    </row>
    <row r="28" spans="19:20" x14ac:dyDescent="0.25">
      <c r="S28">
        <f t="shared" si="3"/>
        <v>246</v>
      </c>
      <c r="T28">
        <f t="shared" si="2"/>
        <v>0.79816268851763972</v>
      </c>
    </row>
    <row r="29" spans="19:20" x14ac:dyDescent="0.25">
      <c r="S29">
        <f t="shared" si="3"/>
        <v>250</v>
      </c>
      <c r="T29">
        <f t="shared" si="2"/>
        <v>0.8112934714957416</v>
      </c>
    </row>
    <row r="30" spans="19:20" x14ac:dyDescent="0.25">
      <c r="S30">
        <f t="shared" si="3"/>
        <v>254</v>
      </c>
      <c r="T30">
        <f t="shared" si="2"/>
        <v>0.8237813155752528</v>
      </c>
    </row>
    <row r="31" spans="19:20" x14ac:dyDescent="0.25">
      <c r="S31">
        <f t="shared" si="3"/>
        <v>258</v>
      </c>
      <c r="T31">
        <f t="shared" si="2"/>
        <v>0.83566472474255948</v>
      </c>
    </row>
    <row r="32" spans="19:20" x14ac:dyDescent="0.25">
      <c r="S32">
        <f t="shared" si="3"/>
        <v>262</v>
      </c>
      <c r="T32">
        <f t="shared" si="2"/>
        <v>0.84697924891195164</v>
      </c>
    </row>
    <row r="33" spans="19:20" x14ac:dyDescent="0.25">
      <c r="S33">
        <f t="shared" si="3"/>
        <v>266</v>
      </c>
      <c r="T33">
        <f t="shared" si="2"/>
        <v>0.85775777977740109</v>
      </c>
    </row>
    <row r="34" spans="19:20" x14ac:dyDescent="0.25">
      <c r="S34">
        <f t="shared" si="3"/>
        <v>270</v>
      </c>
      <c r="T34">
        <f t="shared" si="2"/>
        <v>0.8680308086985199</v>
      </c>
    </row>
    <row r="35" spans="19:20" x14ac:dyDescent="0.25">
      <c r="S35">
        <f t="shared" si="3"/>
        <v>274</v>
      </c>
      <c r="T35">
        <f t="shared" si="2"/>
        <v>0.87782665261834436</v>
      </c>
    </row>
    <row r="36" spans="19:20" x14ac:dyDescent="0.25">
      <c r="S36">
        <f t="shared" si="3"/>
        <v>278</v>
      </c>
      <c r="T36">
        <f t="shared" si="2"/>
        <v>0.88717165289077171</v>
      </c>
    </row>
    <row r="37" spans="19:20" x14ac:dyDescent="0.25">
      <c r="S37">
        <f t="shared" si="3"/>
        <v>282</v>
      </c>
      <c r="T37">
        <f t="shared" si="2"/>
        <v>0.89609035101489964</v>
      </c>
    </row>
    <row r="38" spans="19:20" x14ac:dyDescent="0.25">
      <c r="S38">
        <f t="shared" si="3"/>
        <v>286</v>
      </c>
      <c r="T38">
        <f t="shared" si="2"/>
        <v>0.90460564457506332</v>
      </c>
    </row>
    <row r="39" spans="19:20" x14ac:dyDescent="0.25">
      <c r="S39">
        <f t="shared" si="3"/>
        <v>290</v>
      </c>
      <c r="T39">
        <f t="shared" si="2"/>
        <v>0.91273892612692087</v>
      </c>
    </row>
    <row r="40" spans="19:20" x14ac:dyDescent="0.25">
      <c r="S40">
        <f t="shared" si="3"/>
        <v>294</v>
      </c>
      <c r="T40">
        <f t="shared" si="2"/>
        <v>0.92051020732004463</v>
      </c>
    </row>
    <row r="41" spans="19:20" x14ac:dyDescent="0.25">
      <c r="S41">
        <f t="shared" si="3"/>
        <v>298</v>
      </c>
      <c r="T41">
        <f t="shared" si="2"/>
        <v>0.92793823018248711</v>
      </c>
    </row>
    <row r="42" spans="19:20" x14ac:dyDescent="0.25">
      <c r="S42">
        <f t="shared" si="3"/>
        <v>302</v>
      </c>
      <c r="T42">
        <f t="shared" si="2"/>
        <v>0.9350405671947476</v>
      </c>
    </row>
    <row r="43" spans="19:20" x14ac:dyDescent="0.25">
      <c r="S43">
        <f t="shared" si="3"/>
        <v>306</v>
      </c>
      <c r="T43">
        <f t="shared" si="2"/>
        <v>0.94183371153561313</v>
      </c>
    </row>
    <row r="44" spans="19:20" x14ac:dyDescent="0.25">
      <c r="S44">
        <f t="shared" si="3"/>
        <v>310</v>
      </c>
      <c r="T44">
        <f t="shared" si="2"/>
        <v>0.9483331586799314</v>
      </c>
    </row>
    <row r="45" spans="19:20" x14ac:dyDescent="0.25">
      <c r="S45">
        <f t="shared" si="3"/>
        <v>314</v>
      </c>
      <c r="T45">
        <f t="shared" si="2"/>
        <v>0.95455348036010379</v>
      </c>
    </row>
    <row r="46" spans="19:20" x14ac:dyDescent="0.25">
      <c r="S46">
        <f t="shared" si="3"/>
        <v>318</v>
      </c>
      <c r="T46">
        <f t="shared" si="2"/>
        <v>0.96050839176252467</v>
      </c>
    </row>
    <row r="47" spans="19:20" x14ac:dyDescent="0.25">
      <c r="S47">
        <f t="shared" si="3"/>
        <v>322</v>
      </c>
      <c r="T47">
        <f t="shared" si="2"/>
        <v>0.96621081271218801</v>
      </c>
    </row>
    <row r="48" spans="19:20" x14ac:dyDescent="0.25">
      <c r="S48">
        <f t="shared" si="3"/>
        <v>326</v>
      </c>
      <c r="T48">
        <f t="shared" si="2"/>
        <v>0.97167292349911494</v>
      </c>
    </row>
    <row r="49" spans="19:20" x14ac:dyDescent="0.25">
      <c r="S49">
        <f t="shared" si="3"/>
        <v>330</v>
      </c>
      <c r="T49">
        <f t="shared" si="2"/>
        <v>0.97690621591594062</v>
      </c>
    </row>
    <row r="50" spans="19:20" x14ac:dyDescent="0.25">
      <c r="S50">
        <f t="shared" si="3"/>
        <v>334</v>
      </c>
      <c r="T50">
        <f t="shared" si="2"/>
        <v>0.98192154000421705</v>
      </c>
    </row>
    <row r="51" spans="19:20" x14ac:dyDescent="0.25">
      <c r="S51">
        <f t="shared" si="3"/>
        <v>338</v>
      </c>
      <c r="T51">
        <f t="shared" si="2"/>
        <v>0.98672914694571212</v>
      </c>
    </row>
    <row r="52" spans="19:20" x14ac:dyDescent="0.25">
      <c r="S52">
        <f t="shared" si="3"/>
        <v>342</v>
      </c>
      <c r="T52">
        <f t="shared" si="2"/>
        <v>0.99133872848240556</v>
      </c>
    </row>
    <row r="53" spans="19:20" x14ac:dyDescent="0.25">
      <c r="S53">
        <f t="shared" si="3"/>
        <v>346</v>
      </c>
      <c r="T53">
        <f t="shared" si="2"/>
        <v>0.99575945320366344</v>
      </c>
    </row>
    <row r="54" spans="19:20" x14ac:dyDescent="0.25">
      <c r="S54">
        <f t="shared" si="3"/>
        <v>350</v>
      </c>
      <c r="T54">
        <f t="shared" si="2"/>
        <v>1</v>
      </c>
    </row>
    <row r="55" spans="19:20" x14ac:dyDescent="0.25">
      <c r="S55">
        <f t="shared" si="3"/>
        <v>354</v>
      </c>
      <c r="T55">
        <f t="shared" si="2"/>
        <v>1</v>
      </c>
    </row>
    <row r="56" spans="19:20" x14ac:dyDescent="0.25">
      <c r="S56">
        <f t="shared" si="3"/>
        <v>358</v>
      </c>
      <c r="T56">
        <f t="shared" si="2"/>
        <v>1</v>
      </c>
    </row>
    <row r="57" spans="19:20" x14ac:dyDescent="0.25">
      <c r="S57">
        <f t="shared" si="3"/>
        <v>362</v>
      </c>
      <c r="T57">
        <f t="shared" si="2"/>
        <v>1</v>
      </c>
    </row>
    <row r="58" spans="19:20" x14ac:dyDescent="0.25">
      <c r="S58">
        <f t="shared" si="3"/>
        <v>366</v>
      </c>
      <c r="T58">
        <f t="shared" si="2"/>
        <v>1</v>
      </c>
    </row>
    <row r="59" spans="19:20" x14ac:dyDescent="0.25">
      <c r="S59">
        <f t="shared" si="3"/>
        <v>370</v>
      </c>
      <c r="T59">
        <f t="shared" si="2"/>
        <v>1</v>
      </c>
    </row>
    <row r="60" spans="19:20" x14ac:dyDescent="0.25">
      <c r="S60">
        <f t="shared" si="3"/>
        <v>374</v>
      </c>
      <c r="T60">
        <f t="shared" si="2"/>
        <v>1</v>
      </c>
    </row>
    <row r="61" spans="19:20" x14ac:dyDescent="0.25">
      <c r="S61">
        <f t="shared" si="3"/>
        <v>378</v>
      </c>
      <c r="T61">
        <f t="shared" si="2"/>
        <v>1</v>
      </c>
    </row>
    <row r="62" spans="19:20" x14ac:dyDescent="0.25">
      <c r="S62">
        <f t="shared" si="3"/>
        <v>382</v>
      </c>
      <c r="T62">
        <f t="shared" si="2"/>
        <v>1</v>
      </c>
    </row>
    <row r="63" spans="19:20" x14ac:dyDescent="0.25">
      <c r="S63">
        <f t="shared" si="3"/>
        <v>386</v>
      </c>
      <c r="T63">
        <f t="shared" si="2"/>
        <v>1</v>
      </c>
    </row>
    <row r="64" spans="19:20" x14ac:dyDescent="0.25">
      <c r="S64">
        <f t="shared" si="3"/>
        <v>390</v>
      </c>
      <c r="T64">
        <f t="shared" si="2"/>
        <v>1</v>
      </c>
    </row>
    <row r="65" spans="19:20" x14ac:dyDescent="0.25">
      <c r="S65">
        <f t="shared" si="3"/>
        <v>394</v>
      </c>
      <c r="T65">
        <f t="shared" si="2"/>
        <v>1</v>
      </c>
    </row>
    <row r="66" spans="19:20" x14ac:dyDescent="0.25">
      <c r="S66">
        <f t="shared" si="3"/>
        <v>398</v>
      </c>
      <c r="T66">
        <f t="shared" si="2"/>
        <v>1</v>
      </c>
    </row>
    <row r="67" spans="19:20" x14ac:dyDescent="0.25">
      <c r="S67">
        <f t="shared" si="3"/>
        <v>402</v>
      </c>
      <c r="T67">
        <f t="shared" si="2"/>
        <v>1</v>
      </c>
    </row>
    <row r="68" spans="19:20" x14ac:dyDescent="0.25">
      <c r="S68">
        <f t="shared" si="3"/>
        <v>406</v>
      </c>
      <c r="T68">
        <f t="shared" si="2"/>
        <v>1</v>
      </c>
    </row>
    <row r="69" spans="19:20" x14ac:dyDescent="0.25">
      <c r="S69">
        <f t="shared" si="3"/>
        <v>410</v>
      </c>
      <c r="T69">
        <f t="shared" ref="T69:T105" si="4">IF(S69&lt;=MIN($A$2:$A$12),0,IF(S69&gt;=MAX($A$2:$A$12),1,(1/$B$16)*(1-EXP($B$14*(S69-MIN($A$2:$A$12))^$B$15))))</f>
        <v>1</v>
      </c>
    </row>
    <row r="70" spans="19:20" x14ac:dyDescent="0.25">
      <c r="S70">
        <f t="shared" ref="S70:S105" si="5">S69+(MAX($A$2:$A$12)-$S$4)/50</f>
        <v>414</v>
      </c>
      <c r="T70">
        <f t="shared" si="4"/>
        <v>1</v>
      </c>
    </row>
    <row r="71" spans="19:20" x14ac:dyDescent="0.25">
      <c r="S71">
        <f t="shared" si="5"/>
        <v>418</v>
      </c>
      <c r="T71">
        <f t="shared" si="4"/>
        <v>1</v>
      </c>
    </row>
    <row r="72" spans="19:20" x14ac:dyDescent="0.25">
      <c r="S72">
        <f t="shared" si="5"/>
        <v>422</v>
      </c>
      <c r="T72">
        <f t="shared" si="4"/>
        <v>1</v>
      </c>
    </row>
    <row r="73" spans="19:20" x14ac:dyDescent="0.25">
      <c r="S73">
        <f t="shared" si="5"/>
        <v>426</v>
      </c>
      <c r="T73">
        <f t="shared" si="4"/>
        <v>1</v>
      </c>
    </row>
    <row r="74" spans="19:20" x14ac:dyDescent="0.25">
      <c r="S74">
        <f t="shared" si="5"/>
        <v>430</v>
      </c>
      <c r="T74">
        <f t="shared" si="4"/>
        <v>1</v>
      </c>
    </row>
    <row r="75" spans="19:20" x14ac:dyDescent="0.25">
      <c r="S75">
        <f t="shared" si="5"/>
        <v>434</v>
      </c>
      <c r="T75">
        <f t="shared" si="4"/>
        <v>1</v>
      </c>
    </row>
    <row r="76" spans="19:20" x14ac:dyDescent="0.25">
      <c r="S76">
        <f t="shared" si="5"/>
        <v>438</v>
      </c>
      <c r="T76">
        <f t="shared" si="4"/>
        <v>1</v>
      </c>
    </row>
    <row r="77" spans="19:20" x14ac:dyDescent="0.25">
      <c r="S77">
        <f t="shared" si="5"/>
        <v>442</v>
      </c>
      <c r="T77">
        <f t="shared" si="4"/>
        <v>1</v>
      </c>
    </row>
    <row r="78" spans="19:20" x14ac:dyDescent="0.25">
      <c r="S78">
        <f t="shared" si="5"/>
        <v>446</v>
      </c>
      <c r="T78">
        <f t="shared" si="4"/>
        <v>1</v>
      </c>
    </row>
    <row r="79" spans="19:20" x14ac:dyDescent="0.25">
      <c r="S79">
        <f t="shared" si="5"/>
        <v>450</v>
      </c>
      <c r="T79">
        <f t="shared" si="4"/>
        <v>1</v>
      </c>
    </row>
    <row r="80" spans="19:20" x14ac:dyDescent="0.25">
      <c r="S80">
        <f t="shared" si="5"/>
        <v>454</v>
      </c>
      <c r="T80">
        <f t="shared" si="4"/>
        <v>1</v>
      </c>
    </row>
    <row r="81" spans="19:20" x14ac:dyDescent="0.25">
      <c r="S81">
        <f t="shared" si="5"/>
        <v>458</v>
      </c>
      <c r="T81">
        <f t="shared" si="4"/>
        <v>1</v>
      </c>
    </row>
    <row r="82" spans="19:20" x14ac:dyDescent="0.25">
      <c r="S82">
        <f t="shared" si="5"/>
        <v>462</v>
      </c>
      <c r="T82">
        <f t="shared" si="4"/>
        <v>1</v>
      </c>
    </row>
    <row r="83" spans="19:20" x14ac:dyDescent="0.25">
      <c r="S83">
        <f t="shared" si="5"/>
        <v>466</v>
      </c>
      <c r="T83">
        <f t="shared" si="4"/>
        <v>1</v>
      </c>
    </row>
    <row r="84" spans="19:20" x14ac:dyDescent="0.25">
      <c r="S84">
        <f t="shared" si="5"/>
        <v>470</v>
      </c>
      <c r="T84">
        <f t="shared" si="4"/>
        <v>1</v>
      </c>
    </row>
    <row r="85" spans="19:20" x14ac:dyDescent="0.25">
      <c r="S85">
        <f t="shared" si="5"/>
        <v>474</v>
      </c>
      <c r="T85">
        <f t="shared" si="4"/>
        <v>1</v>
      </c>
    </row>
    <row r="86" spans="19:20" x14ac:dyDescent="0.25">
      <c r="S86">
        <f t="shared" si="5"/>
        <v>478</v>
      </c>
      <c r="T86">
        <f t="shared" si="4"/>
        <v>1</v>
      </c>
    </row>
    <row r="87" spans="19:20" x14ac:dyDescent="0.25">
      <c r="S87">
        <f t="shared" si="5"/>
        <v>482</v>
      </c>
      <c r="T87">
        <f t="shared" si="4"/>
        <v>1</v>
      </c>
    </row>
    <row r="88" spans="19:20" x14ac:dyDescent="0.25">
      <c r="S88">
        <f t="shared" si="5"/>
        <v>486</v>
      </c>
      <c r="T88">
        <f t="shared" si="4"/>
        <v>1</v>
      </c>
    </row>
    <row r="89" spans="19:20" x14ac:dyDescent="0.25">
      <c r="S89">
        <f t="shared" si="5"/>
        <v>490</v>
      </c>
      <c r="T89">
        <f t="shared" si="4"/>
        <v>1</v>
      </c>
    </row>
    <row r="90" spans="19:20" x14ac:dyDescent="0.25">
      <c r="S90">
        <f t="shared" si="5"/>
        <v>494</v>
      </c>
      <c r="T90">
        <f t="shared" si="4"/>
        <v>1</v>
      </c>
    </row>
    <row r="91" spans="19:20" x14ac:dyDescent="0.25">
      <c r="S91">
        <f t="shared" si="5"/>
        <v>498</v>
      </c>
      <c r="T91">
        <f t="shared" si="4"/>
        <v>1</v>
      </c>
    </row>
    <row r="92" spans="19:20" x14ac:dyDescent="0.25">
      <c r="S92">
        <f t="shared" si="5"/>
        <v>502</v>
      </c>
      <c r="T92">
        <f t="shared" si="4"/>
        <v>1</v>
      </c>
    </row>
    <row r="93" spans="19:20" x14ac:dyDescent="0.25">
      <c r="S93">
        <f t="shared" si="5"/>
        <v>506</v>
      </c>
      <c r="T93">
        <f t="shared" si="4"/>
        <v>1</v>
      </c>
    </row>
    <row r="94" spans="19:20" x14ac:dyDescent="0.25">
      <c r="S94">
        <f t="shared" si="5"/>
        <v>510</v>
      </c>
      <c r="T94">
        <f t="shared" si="4"/>
        <v>1</v>
      </c>
    </row>
    <row r="95" spans="19:20" x14ac:dyDescent="0.25">
      <c r="S95">
        <f t="shared" si="5"/>
        <v>514</v>
      </c>
      <c r="T95">
        <f t="shared" si="4"/>
        <v>1</v>
      </c>
    </row>
    <row r="96" spans="19:20" x14ac:dyDescent="0.25">
      <c r="S96">
        <f t="shared" si="5"/>
        <v>518</v>
      </c>
      <c r="T96">
        <f t="shared" si="4"/>
        <v>1</v>
      </c>
    </row>
    <row r="97" spans="19:20" x14ac:dyDescent="0.25">
      <c r="S97">
        <f t="shared" si="5"/>
        <v>522</v>
      </c>
      <c r="T97">
        <f t="shared" si="4"/>
        <v>1</v>
      </c>
    </row>
    <row r="98" spans="19:20" x14ac:dyDescent="0.25">
      <c r="S98">
        <f t="shared" si="5"/>
        <v>526</v>
      </c>
      <c r="T98">
        <f t="shared" si="4"/>
        <v>1</v>
      </c>
    </row>
    <row r="99" spans="19:20" x14ac:dyDescent="0.25">
      <c r="S99">
        <f t="shared" si="5"/>
        <v>530</v>
      </c>
      <c r="T99">
        <f t="shared" si="4"/>
        <v>1</v>
      </c>
    </row>
    <row r="100" spans="19:20" x14ac:dyDescent="0.25">
      <c r="S100">
        <f t="shared" si="5"/>
        <v>534</v>
      </c>
      <c r="T100">
        <f t="shared" si="4"/>
        <v>1</v>
      </c>
    </row>
    <row r="101" spans="19:20" x14ac:dyDescent="0.25">
      <c r="S101">
        <f t="shared" si="5"/>
        <v>538</v>
      </c>
      <c r="T101">
        <f t="shared" si="4"/>
        <v>1</v>
      </c>
    </row>
    <row r="102" spans="19:20" x14ac:dyDescent="0.25">
      <c r="S102">
        <f t="shared" si="5"/>
        <v>542</v>
      </c>
      <c r="T102">
        <f t="shared" si="4"/>
        <v>1</v>
      </c>
    </row>
    <row r="103" spans="19:20" x14ac:dyDescent="0.25">
      <c r="S103">
        <f t="shared" si="5"/>
        <v>546</v>
      </c>
      <c r="T103">
        <f t="shared" si="4"/>
        <v>1</v>
      </c>
    </row>
    <row r="104" spans="19:20" x14ac:dyDescent="0.25">
      <c r="S104">
        <f t="shared" si="5"/>
        <v>550</v>
      </c>
      <c r="T104">
        <f t="shared" si="4"/>
        <v>1</v>
      </c>
    </row>
    <row r="105" spans="19:20" x14ac:dyDescent="0.25">
      <c r="S105">
        <f t="shared" si="5"/>
        <v>554</v>
      </c>
      <c r="T105">
        <f t="shared" si="4"/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opLeftCell="B1" workbookViewId="0">
      <selection activeCell="P2" sqref="P2:P12"/>
    </sheetView>
  </sheetViews>
  <sheetFormatPr defaultRowHeight="15" x14ac:dyDescent="0.25"/>
  <cols>
    <col min="1" max="1" width="13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231</v>
      </c>
      <c r="B1" s="30" t="s">
        <v>219</v>
      </c>
      <c r="P1" t="s">
        <v>222</v>
      </c>
      <c r="Q1" t="s">
        <v>223</v>
      </c>
    </row>
    <row r="2" spans="1:20" x14ac:dyDescent="0.25">
      <c r="A2">
        <v>50</v>
      </c>
      <c r="B2">
        <v>0</v>
      </c>
      <c r="P2" s="28">
        <f>(1-EXP($B$14*(A2-MIN($A$2:$A$12))^$B$15))/$B$16</f>
        <v>0</v>
      </c>
      <c r="Q2" s="28">
        <f>(P2-B2)^2</f>
        <v>0</v>
      </c>
    </row>
    <row r="3" spans="1:20" x14ac:dyDescent="0.25">
      <c r="A3">
        <f>A$2+B3*($A$12-$A$2)</f>
        <v>100</v>
      </c>
      <c r="B3">
        <v>0.2</v>
      </c>
      <c r="P3" s="28">
        <f t="shared" ref="P3:P12" si="0">(1-EXP($B$14*(A3-MIN($A$2:$A$12))^$B$15))/$B$16</f>
        <v>0.20000019998250296</v>
      </c>
      <c r="Q3" s="28">
        <f t="shared" ref="Q3:Q12" si="1">(P3-B3)^2</f>
        <v>3.9993001484704562E-14</v>
      </c>
      <c r="S3" t="s">
        <v>225</v>
      </c>
      <c r="T3" t="s">
        <v>226</v>
      </c>
    </row>
    <row r="4" spans="1:20" x14ac:dyDescent="0.25">
      <c r="A4">
        <f t="shared" ref="A4:A11" si="2">A$2+B4*($A$12-$A$2)</f>
        <v>150</v>
      </c>
      <c r="B4">
        <v>0.4</v>
      </c>
      <c r="P4" s="28">
        <f t="shared" si="0"/>
        <v>0.40000030000039982</v>
      </c>
      <c r="Q4" s="28">
        <f t="shared" si="1"/>
        <v>9.0000239880122566E-14</v>
      </c>
      <c r="S4">
        <f>MIN(A2:A12)</f>
        <v>50</v>
      </c>
      <c r="T4">
        <f>IF(S4&lt;=MIN($A$2:$A$12),0,IF(S4&gt;=MAX($A$2:$A$12),1,(1/$B$16)*(1-EXP($B$14*(S4-MIN($A$2:$A$12))^$B$15))))</f>
        <v>0</v>
      </c>
    </row>
    <row r="5" spans="1:20" x14ac:dyDescent="0.25">
      <c r="A5">
        <f t="shared" si="2"/>
        <v>175</v>
      </c>
      <c r="B5">
        <v>0.5</v>
      </c>
      <c r="P5" s="28">
        <f t="shared" si="0"/>
        <v>0.50000031252817212</v>
      </c>
      <c r="Q5" s="28">
        <f t="shared" si="1"/>
        <v>9.7673858368333269E-14</v>
      </c>
      <c r="S5">
        <f>S4+(MAX($A$2:$A$12)-$S$4)/50</f>
        <v>55</v>
      </c>
      <c r="T5">
        <f t="shared" ref="T5:T68" si="3">IF(S5&lt;=MIN($A$2:$A$12),0,IF(S5&gt;=MAX($A$2:$A$12),1,(1/$B$16)*(1-EXP($B$14*(S5-MIN($A$2:$A$12))^$B$15))))</f>
        <v>2.0000024479116026E-2</v>
      </c>
    </row>
    <row r="6" spans="1:20" x14ac:dyDescent="0.25">
      <c r="A6">
        <f t="shared" si="2"/>
        <v>200</v>
      </c>
      <c r="B6">
        <v>0.6</v>
      </c>
      <c r="P6" s="28">
        <f t="shared" si="0"/>
        <v>0.60000030000928162</v>
      </c>
      <c r="Q6" s="28">
        <f t="shared" si="1"/>
        <v>9.0005569069936441E-14</v>
      </c>
      <c r="S6">
        <f t="shared" ref="S6:S69" si="4">S5+(MAX($A$2:$A$12)-$S$4)/50</f>
        <v>60</v>
      </c>
      <c r="T6">
        <f t="shared" si="3"/>
        <v>4.000004798123457E-2</v>
      </c>
    </row>
    <row r="7" spans="1:20" x14ac:dyDescent="0.25">
      <c r="A7">
        <f t="shared" si="2"/>
        <v>225</v>
      </c>
      <c r="B7">
        <v>0.7</v>
      </c>
      <c r="P7" s="28">
        <f t="shared" si="0"/>
        <v>0.70000026253254632</v>
      </c>
      <c r="Q7" s="28">
        <f t="shared" si="1"/>
        <v>6.8923337902984627E-14</v>
      </c>
      <c r="S7">
        <f t="shared" si="4"/>
        <v>65</v>
      </c>
      <c r="T7">
        <f t="shared" si="3"/>
        <v>6.0000070506355627E-2</v>
      </c>
    </row>
    <row r="8" spans="1:20" x14ac:dyDescent="0.25">
      <c r="A8">
        <f t="shared" si="2"/>
        <v>250</v>
      </c>
      <c r="B8">
        <v>0.8</v>
      </c>
      <c r="P8" s="28">
        <f t="shared" si="0"/>
        <v>0.8000002000091484</v>
      </c>
      <c r="Q8" s="28">
        <f t="shared" si="1"/>
        <v>4.0003659425490927E-14</v>
      </c>
      <c r="S8">
        <f t="shared" si="4"/>
        <v>70</v>
      </c>
      <c r="T8">
        <f t="shared" si="3"/>
        <v>8.0000092010070231E-2</v>
      </c>
    </row>
    <row r="9" spans="1:20" x14ac:dyDescent="0.25">
      <c r="A9">
        <f t="shared" si="2"/>
        <v>262.5</v>
      </c>
      <c r="B9">
        <v>0.85</v>
      </c>
      <c r="P9" s="28">
        <f t="shared" si="0"/>
        <v>0.8500001593993598</v>
      </c>
      <c r="Q9" s="28">
        <f t="shared" si="1"/>
        <v>2.5408155911843595E-14</v>
      </c>
      <c r="S9">
        <f t="shared" si="4"/>
        <v>75</v>
      </c>
      <c r="T9">
        <f t="shared" si="3"/>
        <v>0.10000011249237836</v>
      </c>
    </row>
    <row r="10" spans="1:20" x14ac:dyDescent="0.25">
      <c r="A10">
        <f t="shared" si="2"/>
        <v>275</v>
      </c>
      <c r="B10">
        <v>0.9</v>
      </c>
      <c r="P10" s="28">
        <f t="shared" si="0"/>
        <v>0.90000011252790557</v>
      </c>
      <c r="Q10" s="28">
        <f t="shared" si="1"/>
        <v>1.2662529527281706E-14</v>
      </c>
      <c r="S10">
        <f t="shared" si="4"/>
        <v>80</v>
      </c>
      <c r="T10">
        <f t="shared" si="3"/>
        <v>0.12000013199768902</v>
      </c>
    </row>
    <row r="11" spans="1:20" x14ac:dyDescent="0.25">
      <c r="A11">
        <f t="shared" si="2"/>
        <v>287.5</v>
      </c>
      <c r="B11">
        <v>0.95</v>
      </c>
      <c r="P11" s="28">
        <f t="shared" si="0"/>
        <v>0.9500000593947856</v>
      </c>
      <c r="Q11" s="28">
        <f t="shared" si="1"/>
        <v>3.5277405618531509E-15</v>
      </c>
      <c r="S11">
        <f t="shared" si="4"/>
        <v>85</v>
      </c>
      <c r="T11">
        <f t="shared" si="3"/>
        <v>0.14000015048159323</v>
      </c>
    </row>
    <row r="12" spans="1:20" x14ac:dyDescent="0.25">
      <c r="A12">
        <v>300</v>
      </c>
      <c r="B12">
        <v>1</v>
      </c>
      <c r="P12" s="28">
        <f t="shared" si="0"/>
        <v>1</v>
      </c>
      <c r="Q12" s="28">
        <f t="shared" si="1"/>
        <v>0</v>
      </c>
      <c r="S12">
        <f t="shared" si="4"/>
        <v>90</v>
      </c>
      <c r="T12">
        <f t="shared" si="3"/>
        <v>0.16000016798849995</v>
      </c>
    </row>
    <row r="13" spans="1:20" x14ac:dyDescent="0.25">
      <c r="S13">
        <f t="shared" si="4"/>
        <v>95</v>
      </c>
      <c r="T13">
        <f t="shared" si="3"/>
        <v>0.18000018451840918</v>
      </c>
    </row>
    <row r="14" spans="1:20" x14ac:dyDescent="0.25">
      <c r="A14" t="s">
        <v>220</v>
      </c>
      <c r="B14" s="29">
        <v>-1E-8</v>
      </c>
      <c r="O14" t="s">
        <v>224</v>
      </c>
      <c r="Q14" s="28">
        <f>SUM(Q2:Q12)</f>
        <v>4.6819809213255078E-13</v>
      </c>
      <c r="S14">
        <f t="shared" si="4"/>
        <v>100</v>
      </c>
      <c r="T14">
        <f t="shared" si="3"/>
        <v>0.20000019998250296</v>
      </c>
    </row>
    <row r="15" spans="1:20" x14ac:dyDescent="0.25">
      <c r="A15" t="s">
        <v>228</v>
      </c>
      <c r="B15" s="28">
        <v>1</v>
      </c>
      <c r="S15">
        <f t="shared" si="4"/>
        <v>105</v>
      </c>
      <c r="T15">
        <f t="shared" si="3"/>
        <v>0.22000021451400825</v>
      </c>
    </row>
    <row r="16" spans="1:20" x14ac:dyDescent="0.25">
      <c r="A16" t="s">
        <v>221</v>
      </c>
      <c r="B16" s="28">
        <f>1-EXP($B$14*(MAX($A$2:$A$12)-MIN($A$2:$A$12))^$B$15)</f>
        <v>2.4999968749606083E-6</v>
      </c>
      <c r="S16">
        <f t="shared" si="4"/>
        <v>110</v>
      </c>
      <c r="T16">
        <f t="shared" si="3"/>
        <v>0.24000022802410709</v>
      </c>
    </row>
    <row r="17" spans="19:20" x14ac:dyDescent="0.25">
      <c r="S17">
        <f t="shared" si="4"/>
        <v>115</v>
      </c>
      <c r="T17">
        <f t="shared" si="3"/>
        <v>0.26000024051279946</v>
      </c>
    </row>
    <row r="18" spans="19:20" x14ac:dyDescent="0.25">
      <c r="S18">
        <f t="shared" si="4"/>
        <v>120</v>
      </c>
      <c r="T18">
        <f t="shared" si="3"/>
        <v>0.28000025202449436</v>
      </c>
    </row>
    <row r="19" spans="19:20" x14ac:dyDescent="0.25">
      <c r="S19">
        <f t="shared" si="4"/>
        <v>125</v>
      </c>
      <c r="T19">
        <f t="shared" si="3"/>
        <v>0.30000026251478279</v>
      </c>
    </row>
    <row r="20" spans="19:20" x14ac:dyDescent="0.25">
      <c r="S20">
        <f t="shared" si="4"/>
        <v>130</v>
      </c>
      <c r="T20">
        <f t="shared" si="3"/>
        <v>0.32000027198366476</v>
      </c>
    </row>
    <row r="21" spans="19:20" x14ac:dyDescent="0.25">
      <c r="S21">
        <f t="shared" si="4"/>
        <v>135</v>
      </c>
      <c r="T21">
        <f t="shared" si="3"/>
        <v>0.34000028051995823</v>
      </c>
    </row>
    <row r="22" spans="19:20" x14ac:dyDescent="0.25">
      <c r="S22">
        <f t="shared" si="4"/>
        <v>140</v>
      </c>
      <c r="T22">
        <f t="shared" si="3"/>
        <v>0.36000028799043621</v>
      </c>
    </row>
    <row r="23" spans="19:20" x14ac:dyDescent="0.25">
      <c r="S23">
        <f t="shared" si="4"/>
        <v>145</v>
      </c>
      <c r="T23">
        <f t="shared" si="3"/>
        <v>0.38000029452832573</v>
      </c>
    </row>
    <row r="24" spans="19:20" x14ac:dyDescent="0.25">
      <c r="S24">
        <f t="shared" si="4"/>
        <v>150</v>
      </c>
      <c r="T24">
        <f t="shared" si="3"/>
        <v>0.40000030000039982</v>
      </c>
    </row>
    <row r="25" spans="19:20" x14ac:dyDescent="0.25">
      <c r="S25">
        <f t="shared" si="4"/>
        <v>155</v>
      </c>
      <c r="T25">
        <f t="shared" si="3"/>
        <v>0.42000030449547643</v>
      </c>
    </row>
    <row r="26" spans="19:20" x14ac:dyDescent="0.25">
      <c r="S26">
        <f t="shared" si="4"/>
        <v>160</v>
      </c>
      <c r="T26">
        <f t="shared" si="3"/>
        <v>0.44000030801355555</v>
      </c>
    </row>
    <row r="27" spans="19:20" x14ac:dyDescent="0.25">
      <c r="S27">
        <f t="shared" si="4"/>
        <v>165</v>
      </c>
      <c r="T27">
        <f t="shared" si="3"/>
        <v>0.46000031051022822</v>
      </c>
    </row>
    <row r="28" spans="19:20" x14ac:dyDescent="0.25">
      <c r="S28">
        <f t="shared" si="4"/>
        <v>170</v>
      </c>
      <c r="T28">
        <f t="shared" si="3"/>
        <v>0.4800003120299034</v>
      </c>
    </row>
    <row r="29" spans="19:20" x14ac:dyDescent="0.25">
      <c r="S29">
        <f t="shared" si="4"/>
        <v>175</v>
      </c>
      <c r="T29">
        <f t="shared" si="3"/>
        <v>0.50000031252817212</v>
      </c>
    </row>
    <row r="30" spans="19:20" x14ac:dyDescent="0.25">
      <c r="S30">
        <f t="shared" si="4"/>
        <v>180</v>
      </c>
      <c r="T30">
        <f t="shared" si="3"/>
        <v>0.52000031200503438</v>
      </c>
    </row>
    <row r="31" spans="19:20" x14ac:dyDescent="0.25">
      <c r="S31">
        <f t="shared" si="4"/>
        <v>185</v>
      </c>
      <c r="T31">
        <f t="shared" si="3"/>
        <v>0.54000031050489916</v>
      </c>
    </row>
    <row r="32" spans="19:20" x14ac:dyDescent="0.25">
      <c r="S32">
        <f t="shared" si="4"/>
        <v>190</v>
      </c>
      <c r="T32">
        <f t="shared" si="3"/>
        <v>0.56000030802776646</v>
      </c>
    </row>
    <row r="33" spans="19:20" x14ac:dyDescent="0.25">
      <c r="S33">
        <f t="shared" si="4"/>
        <v>195</v>
      </c>
      <c r="T33">
        <f t="shared" si="3"/>
        <v>0.58000030452922724</v>
      </c>
    </row>
    <row r="34" spans="19:20" x14ac:dyDescent="0.25">
      <c r="S34">
        <f t="shared" si="4"/>
        <v>200</v>
      </c>
      <c r="T34">
        <f t="shared" si="3"/>
        <v>0.60000030000928162</v>
      </c>
    </row>
    <row r="35" spans="19:20" x14ac:dyDescent="0.25">
      <c r="S35">
        <f t="shared" si="4"/>
        <v>205</v>
      </c>
      <c r="T35">
        <f t="shared" si="3"/>
        <v>0.62000029451233851</v>
      </c>
    </row>
    <row r="36" spans="19:20" x14ac:dyDescent="0.25">
      <c r="S36">
        <f t="shared" si="4"/>
        <v>210</v>
      </c>
      <c r="T36">
        <f t="shared" si="3"/>
        <v>0.640000287993989</v>
      </c>
    </row>
    <row r="37" spans="19:20" x14ac:dyDescent="0.25">
      <c r="S37">
        <f t="shared" si="4"/>
        <v>215</v>
      </c>
      <c r="T37">
        <f t="shared" si="3"/>
        <v>0.6600002804986419</v>
      </c>
    </row>
    <row r="38" spans="19:20" x14ac:dyDescent="0.25">
      <c r="S38">
        <f t="shared" si="4"/>
        <v>220</v>
      </c>
      <c r="T38">
        <f t="shared" si="3"/>
        <v>0.68000027202629743</v>
      </c>
    </row>
    <row r="39" spans="19:20" x14ac:dyDescent="0.25">
      <c r="S39">
        <f t="shared" si="4"/>
        <v>225</v>
      </c>
      <c r="T39">
        <f t="shared" si="3"/>
        <v>0.70000026253254632</v>
      </c>
    </row>
    <row r="40" spans="19:20" x14ac:dyDescent="0.25">
      <c r="S40">
        <f t="shared" si="4"/>
        <v>230</v>
      </c>
      <c r="T40">
        <f t="shared" si="3"/>
        <v>0.72000025201738893</v>
      </c>
    </row>
    <row r="41" spans="19:20" x14ac:dyDescent="0.25">
      <c r="S41">
        <f t="shared" si="4"/>
        <v>235</v>
      </c>
      <c r="T41">
        <f t="shared" si="3"/>
        <v>0.74000024052523394</v>
      </c>
    </row>
    <row r="42" spans="19:20" x14ac:dyDescent="0.25">
      <c r="S42">
        <f t="shared" si="4"/>
        <v>240</v>
      </c>
      <c r="T42">
        <f t="shared" si="3"/>
        <v>0.76000022801167255</v>
      </c>
    </row>
    <row r="43" spans="19:20" x14ac:dyDescent="0.25">
      <c r="S43">
        <f t="shared" si="4"/>
        <v>245</v>
      </c>
      <c r="T43">
        <f t="shared" si="3"/>
        <v>0.78000021452111368</v>
      </c>
    </row>
    <row r="44" spans="19:20" x14ac:dyDescent="0.25">
      <c r="S44">
        <f t="shared" si="4"/>
        <v>250</v>
      </c>
      <c r="T44">
        <f t="shared" si="3"/>
        <v>0.8000002000091484</v>
      </c>
    </row>
    <row r="45" spans="19:20" x14ac:dyDescent="0.25">
      <c r="S45">
        <f t="shared" si="4"/>
        <v>255</v>
      </c>
      <c r="T45">
        <f t="shared" si="3"/>
        <v>0.82000018452018553</v>
      </c>
    </row>
    <row r="46" spans="19:20" x14ac:dyDescent="0.25">
      <c r="S46">
        <f t="shared" si="4"/>
        <v>260</v>
      </c>
      <c r="T46">
        <f t="shared" si="3"/>
        <v>0.84000016800981625</v>
      </c>
    </row>
    <row r="47" spans="19:20" x14ac:dyDescent="0.25">
      <c r="S47">
        <f t="shared" si="4"/>
        <v>265</v>
      </c>
      <c r="T47">
        <f t="shared" si="3"/>
        <v>0.86000015052244949</v>
      </c>
    </row>
    <row r="48" spans="19:20" x14ac:dyDescent="0.25">
      <c r="S48">
        <f t="shared" si="4"/>
        <v>270</v>
      </c>
      <c r="T48">
        <f t="shared" si="3"/>
        <v>0.88000013201367633</v>
      </c>
    </row>
    <row r="49" spans="19:20" x14ac:dyDescent="0.25">
      <c r="S49">
        <f t="shared" si="4"/>
        <v>275</v>
      </c>
      <c r="T49">
        <f t="shared" si="3"/>
        <v>0.90000011252790557</v>
      </c>
    </row>
    <row r="50" spans="19:20" x14ac:dyDescent="0.25">
      <c r="S50">
        <f t="shared" si="4"/>
        <v>280</v>
      </c>
      <c r="T50">
        <f t="shared" si="3"/>
        <v>0.92000009202072841</v>
      </c>
    </row>
    <row r="51" spans="19:20" x14ac:dyDescent="0.25">
      <c r="S51">
        <f t="shared" si="4"/>
        <v>285</v>
      </c>
      <c r="T51">
        <f t="shared" si="3"/>
        <v>0.94000007053655377</v>
      </c>
    </row>
    <row r="52" spans="19:20" x14ac:dyDescent="0.25">
      <c r="S52">
        <f t="shared" si="4"/>
        <v>290</v>
      </c>
      <c r="T52">
        <f t="shared" si="3"/>
        <v>0.96000004803097261</v>
      </c>
    </row>
    <row r="53" spans="19:20" x14ac:dyDescent="0.25">
      <c r="S53">
        <f t="shared" si="4"/>
        <v>295</v>
      </c>
      <c r="T53">
        <f t="shared" si="3"/>
        <v>0.98000002450398505</v>
      </c>
    </row>
    <row r="54" spans="19:20" x14ac:dyDescent="0.25">
      <c r="S54">
        <f t="shared" si="4"/>
        <v>300</v>
      </c>
      <c r="T54">
        <f t="shared" si="3"/>
        <v>1</v>
      </c>
    </row>
    <row r="55" spans="19:20" x14ac:dyDescent="0.25">
      <c r="S55">
        <f t="shared" si="4"/>
        <v>305</v>
      </c>
      <c r="T55">
        <f t="shared" si="3"/>
        <v>1</v>
      </c>
    </row>
    <row r="56" spans="19:20" x14ac:dyDescent="0.25">
      <c r="S56">
        <f t="shared" si="4"/>
        <v>310</v>
      </c>
      <c r="T56">
        <f t="shared" si="3"/>
        <v>1</v>
      </c>
    </row>
    <row r="57" spans="19:20" x14ac:dyDescent="0.25">
      <c r="S57">
        <f t="shared" si="4"/>
        <v>315</v>
      </c>
      <c r="T57">
        <f t="shared" si="3"/>
        <v>1</v>
      </c>
    </row>
    <row r="58" spans="19:20" x14ac:dyDescent="0.25">
      <c r="S58">
        <f t="shared" si="4"/>
        <v>320</v>
      </c>
      <c r="T58">
        <f t="shared" si="3"/>
        <v>1</v>
      </c>
    </row>
    <row r="59" spans="19:20" x14ac:dyDescent="0.25">
      <c r="S59">
        <f t="shared" si="4"/>
        <v>325</v>
      </c>
      <c r="T59">
        <f t="shared" si="3"/>
        <v>1</v>
      </c>
    </row>
    <row r="60" spans="19:20" x14ac:dyDescent="0.25">
      <c r="S60">
        <f t="shared" si="4"/>
        <v>330</v>
      </c>
      <c r="T60">
        <f t="shared" si="3"/>
        <v>1</v>
      </c>
    </row>
    <row r="61" spans="19:20" x14ac:dyDescent="0.25">
      <c r="S61">
        <f t="shared" si="4"/>
        <v>335</v>
      </c>
      <c r="T61">
        <f t="shared" si="3"/>
        <v>1</v>
      </c>
    </row>
    <row r="62" spans="19:20" x14ac:dyDescent="0.25">
      <c r="S62">
        <f t="shared" si="4"/>
        <v>340</v>
      </c>
      <c r="T62">
        <f t="shared" si="3"/>
        <v>1</v>
      </c>
    </row>
    <row r="63" spans="19:20" x14ac:dyDescent="0.25">
      <c r="S63">
        <f t="shared" si="4"/>
        <v>345</v>
      </c>
      <c r="T63">
        <f t="shared" si="3"/>
        <v>1</v>
      </c>
    </row>
    <row r="64" spans="19:20" x14ac:dyDescent="0.25">
      <c r="S64">
        <f t="shared" si="4"/>
        <v>350</v>
      </c>
      <c r="T64">
        <f t="shared" si="3"/>
        <v>1</v>
      </c>
    </row>
    <row r="65" spans="19:20" x14ac:dyDescent="0.25">
      <c r="S65">
        <f t="shared" si="4"/>
        <v>355</v>
      </c>
      <c r="T65">
        <f t="shared" si="3"/>
        <v>1</v>
      </c>
    </row>
    <row r="66" spans="19:20" x14ac:dyDescent="0.25">
      <c r="S66">
        <f t="shared" si="4"/>
        <v>360</v>
      </c>
      <c r="T66">
        <f t="shared" si="3"/>
        <v>1</v>
      </c>
    </row>
    <row r="67" spans="19:20" x14ac:dyDescent="0.25">
      <c r="S67">
        <f t="shared" si="4"/>
        <v>365</v>
      </c>
      <c r="T67">
        <f t="shared" si="3"/>
        <v>1</v>
      </c>
    </row>
    <row r="68" spans="19:20" x14ac:dyDescent="0.25">
      <c r="S68">
        <f t="shared" si="4"/>
        <v>370</v>
      </c>
      <c r="T68">
        <f t="shared" si="3"/>
        <v>1</v>
      </c>
    </row>
    <row r="69" spans="19:20" x14ac:dyDescent="0.25">
      <c r="S69">
        <f t="shared" si="4"/>
        <v>375</v>
      </c>
      <c r="T69">
        <f t="shared" ref="T69:T105" si="5">IF(S69&lt;=MIN($A$2:$A$12),0,IF(S69&gt;=MAX($A$2:$A$12),1,(1/$B$16)*(1-EXP($B$14*(S69-MIN($A$2:$A$12))^$B$15))))</f>
        <v>1</v>
      </c>
    </row>
    <row r="70" spans="19:20" x14ac:dyDescent="0.25">
      <c r="S70">
        <f t="shared" ref="S70:S105" si="6">S69+(MAX($A$2:$A$12)-$S$4)/50</f>
        <v>380</v>
      </c>
      <c r="T70">
        <f t="shared" si="5"/>
        <v>1</v>
      </c>
    </row>
    <row r="71" spans="19:20" x14ac:dyDescent="0.25">
      <c r="S71">
        <f t="shared" si="6"/>
        <v>385</v>
      </c>
      <c r="T71">
        <f t="shared" si="5"/>
        <v>1</v>
      </c>
    </row>
    <row r="72" spans="19:20" x14ac:dyDescent="0.25">
      <c r="S72">
        <f t="shared" si="6"/>
        <v>390</v>
      </c>
      <c r="T72">
        <f t="shared" si="5"/>
        <v>1</v>
      </c>
    </row>
    <row r="73" spans="19:20" x14ac:dyDescent="0.25">
      <c r="S73">
        <f t="shared" si="6"/>
        <v>395</v>
      </c>
      <c r="T73">
        <f t="shared" si="5"/>
        <v>1</v>
      </c>
    </row>
    <row r="74" spans="19:20" x14ac:dyDescent="0.25">
      <c r="S74">
        <f t="shared" si="6"/>
        <v>400</v>
      </c>
      <c r="T74">
        <f t="shared" si="5"/>
        <v>1</v>
      </c>
    </row>
    <row r="75" spans="19:20" x14ac:dyDescent="0.25">
      <c r="S75">
        <f t="shared" si="6"/>
        <v>405</v>
      </c>
      <c r="T75">
        <f t="shared" si="5"/>
        <v>1</v>
      </c>
    </row>
    <row r="76" spans="19:20" x14ac:dyDescent="0.25">
      <c r="S76">
        <f t="shared" si="6"/>
        <v>410</v>
      </c>
      <c r="T76">
        <f t="shared" si="5"/>
        <v>1</v>
      </c>
    </row>
    <row r="77" spans="19:20" x14ac:dyDescent="0.25">
      <c r="S77">
        <f t="shared" si="6"/>
        <v>415</v>
      </c>
      <c r="T77">
        <f t="shared" si="5"/>
        <v>1</v>
      </c>
    </row>
    <row r="78" spans="19:20" x14ac:dyDescent="0.25">
      <c r="S78">
        <f t="shared" si="6"/>
        <v>420</v>
      </c>
      <c r="T78">
        <f t="shared" si="5"/>
        <v>1</v>
      </c>
    </row>
    <row r="79" spans="19:20" x14ac:dyDescent="0.25">
      <c r="S79">
        <f t="shared" si="6"/>
        <v>425</v>
      </c>
      <c r="T79">
        <f t="shared" si="5"/>
        <v>1</v>
      </c>
    </row>
    <row r="80" spans="19:20" x14ac:dyDescent="0.25">
      <c r="S80">
        <f t="shared" si="6"/>
        <v>430</v>
      </c>
      <c r="T80">
        <f t="shared" si="5"/>
        <v>1</v>
      </c>
    </row>
    <row r="81" spans="19:20" x14ac:dyDescent="0.25">
      <c r="S81">
        <f t="shared" si="6"/>
        <v>435</v>
      </c>
      <c r="T81">
        <f t="shared" si="5"/>
        <v>1</v>
      </c>
    </row>
    <row r="82" spans="19:20" x14ac:dyDescent="0.25">
      <c r="S82">
        <f t="shared" si="6"/>
        <v>440</v>
      </c>
      <c r="T82">
        <f t="shared" si="5"/>
        <v>1</v>
      </c>
    </row>
    <row r="83" spans="19:20" x14ac:dyDescent="0.25">
      <c r="S83">
        <f t="shared" si="6"/>
        <v>445</v>
      </c>
      <c r="T83">
        <f t="shared" si="5"/>
        <v>1</v>
      </c>
    </row>
    <row r="84" spans="19:20" x14ac:dyDescent="0.25">
      <c r="S84">
        <f t="shared" si="6"/>
        <v>450</v>
      </c>
      <c r="T84">
        <f t="shared" si="5"/>
        <v>1</v>
      </c>
    </row>
    <row r="85" spans="19:20" x14ac:dyDescent="0.25">
      <c r="S85">
        <f t="shared" si="6"/>
        <v>455</v>
      </c>
      <c r="T85">
        <f t="shared" si="5"/>
        <v>1</v>
      </c>
    </row>
    <row r="86" spans="19:20" x14ac:dyDescent="0.25">
      <c r="S86">
        <f t="shared" si="6"/>
        <v>460</v>
      </c>
      <c r="T86">
        <f t="shared" si="5"/>
        <v>1</v>
      </c>
    </row>
    <row r="87" spans="19:20" x14ac:dyDescent="0.25">
      <c r="S87">
        <f t="shared" si="6"/>
        <v>465</v>
      </c>
      <c r="T87">
        <f t="shared" si="5"/>
        <v>1</v>
      </c>
    </row>
    <row r="88" spans="19:20" x14ac:dyDescent="0.25">
      <c r="S88">
        <f t="shared" si="6"/>
        <v>470</v>
      </c>
      <c r="T88">
        <f t="shared" si="5"/>
        <v>1</v>
      </c>
    </row>
    <row r="89" spans="19:20" x14ac:dyDescent="0.25">
      <c r="S89">
        <f t="shared" si="6"/>
        <v>475</v>
      </c>
      <c r="T89">
        <f t="shared" si="5"/>
        <v>1</v>
      </c>
    </row>
    <row r="90" spans="19:20" x14ac:dyDescent="0.25">
      <c r="S90">
        <f t="shared" si="6"/>
        <v>480</v>
      </c>
      <c r="T90">
        <f t="shared" si="5"/>
        <v>1</v>
      </c>
    </row>
    <row r="91" spans="19:20" x14ac:dyDescent="0.25">
      <c r="S91">
        <f t="shared" si="6"/>
        <v>485</v>
      </c>
      <c r="T91">
        <f t="shared" si="5"/>
        <v>1</v>
      </c>
    </row>
    <row r="92" spans="19:20" x14ac:dyDescent="0.25">
      <c r="S92">
        <f t="shared" si="6"/>
        <v>490</v>
      </c>
      <c r="T92">
        <f t="shared" si="5"/>
        <v>1</v>
      </c>
    </row>
    <row r="93" spans="19:20" x14ac:dyDescent="0.25">
      <c r="S93">
        <f t="shared" si="6"/>
        <v>495</v>
      </c>
      <c r="T93">
        <f t="shared" si="5"/>
        <v>1</v>
      </c>
    </row>
    <row r="94" spans="19:20" x14ac:dyDescent="0.25">
      <c r="S94">
        <f t="shared" si="6"/>
        <v>500</v>
      </c>
      <c r="T94">
        <f t="shared" si="5"/>
        <v>1</v>
      </c>
    </row>
    <row r="95" spans="19:20" x14ac:dyDescent="0.25">
      <c r="S95">
        <f t="shared" si="6"/>
        <v>505</v>
      </c>
      <c r="T95">
        <f t="shared" si="5"/>
        <v>1</v>
      </c>
    </row>
    <row r="96" spans="19:20" x14ac:dyDescent="0.25">
      <c r="S96">
        <f t="shared" si="6"/>
        <v>510</v>
      </c>
      <c r="T96">
        <f t="shared" si="5"/>
        <v>1</v>
      </c>
    </row>
    <row r="97" spans="19:20" x14ac:dyDescent="0.25">
      <c r="S97">
        <f t="shared" si="6"/>
        <v>515</v>
      </c>
      <c r="T97">
        <f t="shared" si="5"/>
        <v>1</v>
      </c>
    </row>
    <row r="98" spans="19:20" x14ac:dyDescent="0.25">
      <c r="S98">
        <f t="shared" si="6"/>
        <v>520</v>
      </c>
      <c r="T98">
        <f t="shared" si="5"/>
        <v>1</v>
      </c>
    </row>
    <row r="99" spans="19:20" x14ac:dyDescent="0.25">
      <c r="S99">
        <f t="shared" si="6"/>
        <v>525</v>
      </c>
      <c r="T99">
        <f t="shared" si="5"/>
        <v>1</v>
      </c>
    </row>
    <row r="100" spans="19:20" x14ac:dyDescent="0.25">
      <c r="S100">
        <f t="shared" si="6"/>
        <v>530</v>
      </c>
      <c r="T100">
        <f t="shared" si="5"/>
        <v>1</v>
      </c>
    </row>
    <row r="101" spans="19:20" x14ac:dyDescent="0.25">
      <c r="S101">
        <f t="shared" si="6"/>
        <v>535</v>
      </c>
      <c r="T101">
        <f t="shared" si="5"/>
        <v>1</v>
      </c>
    </row>
    <row r="102" spans="19:20" x14ac:dyDescent="0.25">
      <c r="S102">
        <f t="shared" si="6"/>
        <v>540</v>
      </c>
      <c r="T102">
        <f t="shared" si="5"/>
        <v>1</v>
      </c>
    </row>
    <row r="103" spans="19:20" x14ac:dyDescent="0.25">
      <c r="S103">
        <f t="shared" si="6"/>
        <v>545</v>
      </c>
      <c r="T103">
        <f t="shared" si="5"/>
        <v>1</v>
      </c>
    </row>
    <row r="104" spans="19:20" x14ac:dyDescent="0.25">
      <c r="S104">
        <f t="shared" si="6"/>
        <v>550</v>
      </c>
      <c r="T104">
        <f t="shared" si="5"/>
        <v>1</v>
      </c>
    </row>
    <row r="105" spans="19:20" x14ac:dyDescent="0.25">
      <c r="S105">
        <f t="shared" si="6"/>
        <v>555</v>
      </c>
      <c r="T105">
        <f t="shared" si="5"/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opLeftCell="C1" workbookViewId="0">
      <selection activeCell="T7" sqref="T7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30" t="s">
        <v>257</v>
      </c>
      <c r="B1" s="30" t="s">
        <v>219</v>
      </c>
      <c r="P1" t="s">
        <v>222</v>
      </c>
      <c r="Q1" t="s">
        <v>223</v>
      </c>
    </row>
    <row r="2" spans="1:20" x14ac:dyDescent="0.25">
      <c r="A2">
        <v>0.16500000000000001</v>
      </c>
      <c r="B2">
        <v>0</v>
      </c>
      <c r="P2" s="28">
        <f>(1-EXP($B$14*(MAX($A$2:$A$12)-A2)^$B$15))/$B$16</f>
        <v>0</v>
      </c>
      <c r="Q2" s="28">
        <f>(P2-B2)^2</f>
        <v>0</v>
      </c>
    </row>
    <row r="3" spans="1:20" x14ac:dyDescent="0.25">
      <c r="A3">
        <f>A$2+B3*($A$12-$A$2)</f>
        <v>0.13500000000000001</v>
      </c>
      <c r="B3">
        <v>0.2</v>
      </c>
      <c r="P3" s="28">
        <f t="shared" ref="P3:P12" si="0">(1-EXP($B$14*(MAX($A$2:$A$12)-A3)^$B$15))/$B$16</f>
        <v>0.20000002960594926</v>
      </c>
      <c r="Q3" s="28">
        <f t="shared" ref="Q3:Q12" si="1">(P3-B3)^2</f>
        <v>8.7651223085881424E-16</v>
      </c>
      <c r="S3" t="s">
        <v>225</v>
      </c>
      <c r="T3" t="s">
        <v>226</v>
      </c>
    </row>
    <row r="4" spans="1:20" x14ac:dyDescent="0.25">
      <c r="A4">
        <f t="shared" ref="A4:A11" si="2">A$2+B4*($A$12-$A$2)</f>
        <v>0.105</v>
      </c>
      <c r="B4">
        <v>0.4</v>
      </c>
      <c r="P4" s="28">
        <f t="shared" si="0"/>
        <v>0.40000005921189852</v>
      </c>
      <c r="Q4" s="28">
        <f t="shared" si="1"/>
        <v>3.506048923435257E-15</v>
      </c>
      <c r="S4">
        <f>MIN(A2:A12)</f>
        <v>1.4999999999999999E-2</v>
      </c>
      <c r="T4">
        <f>IF(S4&lt;=MIN($A$2:$A$12),1,IF(S4&gt;=MAX($A$2:$A$12),0,(1/$B$16)*(1-EXP($B$14*(MAX($A$2:$A$12)-S4)^$B$15))))</f>
        <v>1</v>
      </c>
    </row>
    <row r="5" spans="1:20" x14ac:dyDescent="0.25">
      <c r="A5">
        <f t="shared" si="2"/>
        <v>0.09</v>
      </c>
      <c r="B5">
        <v>0.5</v>
      </c>
      <c r="P5" s="28">
        <f t="shared" si="0"/>
        <v>0.50000007401487312</v>
      </c>
      <c r="Q5" s="28">
        <f t="shared" si="1"/>
        <v>5.4782014428675894E-15</v>
      </c>
      <c r="S5">
        <f>S4+(MAX($A$2:$A$12)-$S$4)/50</f>
        <v>1.7999999999999999E-2</v>
      </c>
      <c r="T5">
        <f t="shared" ref="T5:T68" si="3">IF(S5&lt;=MIN($A$2:$A$12),1,IF(S5&gt;=MAX($A$2:$A$12),0,(1/$B$16)*(1-EXP($B$14*(MAX($A$2:$A$12)-S5)^$B$15))))</f>
        <v>0.9799999970394051</v>
      </c>
    </row>
    <row r="6" spans="1:20" x14ac:dyDescent="0.25">
      <c r="A6">
        <f t="shared" si="2"/>
        <v>7.4999999999999997E-2</v>
      </c>
      <c r="B6">
        <v>0.6</v>
      </c>
      <c r="P6" s="28">
        <f t="shared" si="0"/>
        <v>0.60000008881784772</v>
      </c>
      <c r="Q6" s="28">
        <f t="shared" si="1"/>
        <v>7.888610077729328E-15</v>
      </c>
      <c r="S6">
        <f t="shared" ref="S6:S69" si="4">S5+(MAX($A$2:$A$12)-$S$4)/50</f>
        <v>2.0999999999999998E-2</v>
      </c>
      <c r="T6">
        <f t="shared" si="3"/>
        <v>0.9599999940788102</v>
      </c>
    </row>
    <row r="7" spans="1:20" x14ac:dyDescent="0.25">
      <c r="A7">
        <f t="shared" si="2"/>
        <v>0.06</v>
      </c>
      <c r="B7">
        <v>0.7</v>
      </c>
      <c r="P7" s="28">
        <f t="shared" si="0"/>
        <v>0.70000010362082243</v>
      </c>
      <c r="Q7" s="28">
        <f t="shared" si="1"/>
        <v>1.0737274851028919E-14</v>
      </c>
      <c r="S7">
        <f t="shared" si="4"/>
        <v>2.3999999999999997E-2</v>
      </c>
      <c r="T7">
        <f t="shared" si="3"/>
        <v>0.93999999111821531</v>
      </c>
    </row>
    <row r="8" spans="1:20" x14ac:dyDescent="0.25">
      <c r="A8">
        <f t="shared" si="2"/>
        <v>4.4999999999999984E-2</v>
      </c>
      <c r="B8">
        <v>0.8</v>
      </c>
      <c r="P8" s="28">
        <f t="shared" si="0"/>
        <v>0.80000011842379704</v>
      </c>
      <c r="Q8" s="28">
        <f t="shared" si="1"/>
        <v>1.4024195693741028E-14</v>
      </c>
      <c r="S8">
        <f t="shared" si="4"/>
        <v>2.6999999999999996E-2</v>
      </c>
      <c r="T8">
        <f t="shared" si="3"/>
        <v>0.91999998815762041</v>
      </c>
    </row>
    <row r="9" spans="1:20" x14ac:dyDescent="0.25">
      <c r="A9">
        <f t="shared" si="2"/>
        <v>3.7500000000000006E-2</v>
      </c>
      <c r="B9">
        <v>0.85</v>
      </c>
      <c r="P9" s="28">
        <f t="shared" si="0"/>
        <v>0.85000012582528439</v>
      </c>
      <c r="Q9" s="28">
        <f t="shared" si="1"/>
        <v>1.5832002197826158E-14</v>
      </c>
      <c r="S9">
        <f t="shared" si="4"/>
        <v>2.9999999999999995E-2</v>
      </c>
      <c r="T9">
        <f t="shared" si="3"/>
        <v>0.90000013322677175</v>
      </c>
    </row>
    <row r="10" spans="1:20" x14ac:dyDescent="0.25">
      <c r="A10">
        <f t="shared" si="2"/>
        <v>2.9999999999999971E-2</v>
      </c>
      <c r="B10">
        <v>0.9</v>
      </c>
      <c r="P10" s="28">
        <f t="shared" si="0"/>
        <v>0.90000013322677164</v>
      </c>
      <c r="Q10" s="28">
        <f t="shared" si="1"/>
        <v>1.7749372674890989E-14</v>
      </c>
      <c r="S10">
        <f t="shared" si="4"/>
        <v>3.2999999999999995E-2</v>
      </c>
      <c r="T10">
        <f t="shared" si="3"/>
        <v>0.88000013026617674</v>
      </c>
    </row>
    <row r="11" spans="1:20" x14ac:dyDescent="0.25">
      <c r="A11">
        <f t="shared" si="2"/>
        <v>2.2499999999999992E-2</v>
      </c>
      <c r="B11">
        <v>0.95</v>
      </c>
      <c r="P11" s="28">
        <f t="shared" si="0"/>
        <v>0.94999999259851264</v>
      </c>
      <c r="Q11" s="28">
        <f t="shared" si="1"/>
        <v>5.478201442867589E-17</v>
      </c>
      <c r="S11">
        <f t="shared" si="4"/>
        <v>3.5999999999999997E-2</v>
      </c>
      <c r="T11">
        <f t="shared" si="3"/>
        <v>0.86000012730558184</v>
      </c>
    </row>
    <row r="12" spans="1:20" x14ac:dyDescent="0.25">
      <c r="A12">
        <v>1.4999999999999999E-2</v>
      </c>
      <c r="B12">
        <v>1</v>
      </c>
      <c r="P12" s="28">
        <f t="shared" si="0"/>
        <v>1</v>
      </c>
      <c r="Q12" s="28">
        <f t="shared" si="1"/>
        <v>0</v>
      </c>
      <c r="S12">
        <f t="shared" si="4"/>
        <v>3.9E-2</v>
      </c>
      <c r="T12">
        <f t="shared" si="3"/>
        <v>0.84000012434498694</v>
      </c>
    </row>
    <row r="13" spans="1:20" x14ac:dyDescent="0.25">
      <c r="S13">
        <f t="shared" si="4"/>
        <v>4.2000000000000003E-2</v>
      </c>
      <c r="T13">
        <f t="shared" si="3"/>
        <v>0.82000012138439204</v>
      </c>
    </row>
    <row r="14" spans="1:20" x14ac:dyDescent="0.25">
      <c r="A14" t="s">
        <v>220</v>
      </c>
      <c r="B14" s="29">
        <v>1E-8</v>
      </c>
      <c r="O14" t="s">
        <v>224</v>
      </c>
      <c r="Q14" s="28">
        <f>SUM(Q2:Q12)</f>
        <v>7.6147000106806762E-14</v>
      </c>
      <c r="S14">
        <f t="shared" si="4"/>
        <v>4.5000000000000005E-2</v>
      </c>
      <c r="T14">
        <f t="shared" si="3"/>
        <v>0.80000011842379704</v>
      </c>
    </row>
    <row r="15" spans="1:20" x14ac:dyDescent="0.25">
      <c r="A15" t="s">
        <v>228</v>
      </c>
      <c r="B15" s="28">
        <v>1</v>
      </c>
      <c r="S15">
        <f t="shared" si="4"/>
        <v>4.8000000000000008E-2</v>
      </c>
      <c r="T15">
        <f t="shared" si="3"/>
        <v>0.78000011546320214</v>
      </c>
    </row>
    <row r="16" spans="1:20" x14ac:dyDescent="0.25">
      <c r="A16" t="s">
        <v>221</v>
      </c>
      <c r="B16" s="28">
        <f>1-EXP($B$14*(MAX($A$2:$A$12)-MIN($A$2:$A$12))^$B$15)</f>
        <v>-1.4999999020659516E-9</v>
      </c>
      <c r="S16">
        <f t="shared" si="4"/>
        <v>5.1000000000000011E-2</v>
      </c>
      <c r="T16">
        <f t="shared" si="3"/>
        <v>0.76000011250260724</v>
      </c>
    </row>
    <row r="17" spans="19:20" x14ac:dyDescent="0.25">
      <c r="S17">
        <f t="shared" si="4"/>
        <v>5.4000000000000013E-2</v>
      </c>
      <c r="T17">
        <f t="shared" si="3"/>
        <v>0.74000010954201234</v>
      </c>
    </row>
    <row r="18" spans="19:20" x14ac:dyDescent="0.25">
      <c r="S18">
        <f t="shared" si="4"/>
        <v>5.7000000000000016E-2</v>
      </c>
      <c r="T18">
        <f t="shared" si="3"/>
        <v>0.72000010658141733</v>
      </c>
    </row>
    <row r="19" spans="19:20" x14ac:dyDescent="0.25">
      <c r="S19">
        <f t="shared" si="4"/>
        <v>6.0000000000000019E-2</v>
      </c>
      <c r="T19">
        <f t="shared" si="3"/>
        <v>0.70000010362082243</v>
      </c>
    </row>
    <row r="20" spans="19:20" x14ac:dyDescent="0.25">
      <c r="S20">
        <f t="shared" si="4"/>
        <v>6.3000000000000014E-2</v>
      </c>
      <c r="T20">
        <f t="shared" si="3"/>
        <v>0.68000010066022754</v>
      </c>
    </row>
    <row r="21" spans="19:20" x14ac:dyDescent="0.25">
      <c r="S21">
        <f t="shared" si="4"/>
        <v>6.6000000000000017E-2</v>
      </c>
      <c r="T21">
        <f t="shared" si="3"/>
        <v>0.66000009769963264</v>
      </c>
    </row>
    <row r="22" spans="19:20" x14ac:dyDescent="0.25">
      <c r="S22">
        <f t="shared" si="4"/>
        <v>6.900000000000002E-2</v>
      </c>
      <c r="T22">
        <f t="shared" si="3"/>
        <v>0.64000009473903763</v>
      </c>
    </row>
    <row r="23" spans="19:20" x14ac:dyDescent="0.25">
      <c r="S23">
        <f t="shared" si="4"/>
        <v>7.2000000000000022E-2</v>
      </c>
      <c r="T23">
        <f t="shared" si="3"/>
        <v>0.62000009177844273</v>
      </c>
    </row>
    <row r="24" spans="19:20" x14ac:dyDescent="0.25">
      <c r="S24">
        <f t="shared" si="4"/>
        <v>7.5000000000000025E-2</v>
      </c>
      <c r="T24">
        <f t="shared" si="3"/>
        <v>0.60000008881784783</v>
      </c>
    </row>
    <row r="25" spans="19:20" x14ac:dyDescent="0.25">
      <c r="S25">
        <f t="shared" si="4"/>
        <v>7.8000000000000028E-2</v>
      </c>
      <c r="T25">
        <f t="shared" si="3"/>
        <v>0.58000008585725282</v>
      </c>
    </row>
    <row r="26" spans="19:20" x14ac:dyDescent="0.25">
      <c r="S26">
        <f t="shared" si="4"/>
        <v>8.100000000000003E-2</v>
      </c>
      <c r="T26">
        <f t="shared" si="3"/>
        <v>0.56000008289665792</v>
      </c>
    </row>
    <row r="27" spans="19:20" x14ac:dyDescent="0.25">
      <c r="S27">
        <f t="shared" si="4"/>
        <v>8.4000000000000033E-2</v>
      </c>
      <c r="T27">
        <f t="shared" si="3"/>
        <v>0.54000007993606303</v>
      </c>
    </row>
    <row r="28" spans="19:20" x14ac:dyDescent="0.25">
      <c r="S28">
        <f t="shared" si="4"/>
        <v>8.7000000000000036E-2</v>
      </c>
      <c r="T28">
        <f t="shared" si="3"/>
        <v>0.52000007697546813</v>
      </c>
    </row>
    <row r="29" spans="19:20" x14ac:dyDescent="0.25">
      <c r="S29">
        <f t="shared" si="4"/>
        <v>9.0000000000000038E-2</v>
      </c>
      <c r="T29">
        <f t="shared" si="3"/>
        <v>0.50000007401487312</v>
      </c>
    </row>
    <row r="30" spans="19:20" x14ac:dyDescent="0.25">
      <c r="S30">
        <f t="shared" si="4"/>
        <v>9.3000000000000041E-2</v>
      </c>
      <c r="T30">
        <f t="shared" si="3"/>
        <v>0.48000007105427822</v>
      </c>
    </row>
    <row r="31" spans="19:20" x14ac:dyDescent="0.25">
      <c r="S31">
        <f t="shared" si="4"/>
        <v>9.6000000000000044E-2</v>
      </c>
      <c r="T31">
        <f t="shared" si="3"/>
        <v>0.46000006809368332</v>
      </c>
    </row>
    <row r="32" spans="19:20" x14ac:dyDescent="0.25">
      <c r="S32">
        <f t="shared" si="4"/>
        <v>9.9000000000000046E-2</v>
      </c>
      <c r="T32">
        <f t="shared" si="3"/>
        <v>0.44000006513308837</v>
      </c>
    </row>
    <row r="33" spans="19:20" x14ac:dyDescent="0.25">
      <c r="S33">
        <f t="shared" si="4"/>
        <v>0.10200000000000005</v>
      </c>
      <c r="T33">
        <f t="shared" si="3"/>
        <v>0.42000006217249347</v>
      </c>
    </row>
    <row r="34" spans="19:20" x14ac:dyDescent="0.25">
      <c r="S34">
        <f t="shared" si="4"/>
        <v>0.10500000000000005</v>
      </c>
      <c r="T34">
        <f t="shared" si="3"/>
        <v>0.40000005921189852</v>
      </c>
    </row>
    <row r="35" spans="19:20" x14ac:dyDescent="0.25">
      <c r="S35">
        <f t="shared" si="4"/>
        <v>0.10800000000000005</v>
      </c>
      <c r="T35">
        <f t="shared" si="3"/>
        <v>0.38000005625130362</v>
      </c>
    </row>
    <row r="36" spans="19:20" x14ac:dyDescent="0.25">
      <c r="S36">
        <f t="shared" si="4"/>
        <v>0.11100000000000006</v>
      </c>
      <c r="T36">
        <f t="shared" si="3"/>
        <v>0.36000005329070867</v>
      </c>
    </row>
    <row r="37" spans="19:20" x14ac:dyDescent="0.25">
      <c r="S37">
        <f t="shared" si="4"/>
        <v>0.11400000000000006</v>
      </c>
      <c r="T37">
        <f t="shared" si="3"/>
        <v>0.34000005033011377</v>
      </c>
    </row>
    <row r="38" spans="19:20" x14ac:dyDescent="0.25">
      <c r="S38">
        <f t="shared" si="4"/>
        <v>0.11700000000000006</v>
      </c>
      <c r="T38">
        <f t="shared" si="3"/>
        <v>0.32000004736951881</v>
      </c>
    </row>
    <row r="39" spans="19:20" x14ac:dyDescent="0.25">
      <c r="S39">
        <f t="shared" si="4"/>
        <v>0.12000000000000006</v>
      </c>
      <c r="T39">
        <f t="shared" si="3"/>
        <v>0.30000004440892392</v>
      </c>
    </row>
    <row r="40" spans="19:20" x14ac:dyDescent="0.25">
      <c r="S40">
        <f t="shared" si="4"/>
        <v>0.12300000000000007</v>
      </c>
      <c r="T40">
        <f t="shared" si="3"/>
        <v>0.28000004144832896</v>
      </c>
    </row>
    <row r="41" spans="19:20" x14ac:dyDescent="0.25">
      <c r="S41">
        <f t="shared" si="4"/>
        <v>0.12600000000000006</v>
      </c>
      <c r="T41">
        <f t="shared" si="3"/>
        <v>0.26000003848773406</v>
      </c>
    </row>
    <row r="42" spans="19:20" x14ac:dyDescent="0.25">
      <c r="S42">
        <f t="shared" si="4"/>
        <v>0.12900000000000006</v>
      </c>
      <c r="T42">
        <f t="shared" si="3"/>
        <v>0.24000003552713911</v>
      </c>
    </row>
    <row r="43" spans="19:20" x14ac:dyDescent="0.25">
      <c r="S43">
        <f t="shared" si="4"/>
        <v>0.13200000000000006</v>
      </c>
      <c r="T43">
        <f t="shared" si="3"/>
        <v>0.22000003256654418</v>
      </c>
    </row>
    <row r="44" spans="19:20" x14ac:dyDescent="0.25">
      <c r="S44">
        <f t="shared" si="4"/>
        <v>0.13500000000000006</v>
      </c>
      <c r="T44">
        <f t="shared" si="3"/>
        <v>0.20000002960594926</v>
      </c>
    </row>
    <row r="45" spans="19:20" x14ac:dyDescent="0.25">
      <c r="S45">
        <f t="shared" si="4"/>
        <v>0.13800000000000007</v>
      </c>
      <c r="T45">
        <f t="shared" si="3"/>
        <v>0.18000002664535433</v>
      </c>
    </row>
    <row r="46" spans="19:20" x14ac:dyDescent="0.25">
      <c r="S46">
        <f t="shared" si="4"/>
        <v>0.14100000000000007</v>
      </c>
      <c r="T46">
        <f t="shared" si="3"/>
        <v>0.16000002368475941</v>
      </c>
    </row>
    <row r="47" spans="19:20" x14ac:dyDescent="0.25">
      <c r="S47">
        <f t="shared" si="4"/>
        <v>0.14400000000000007</v>
      </c>
      <c r="T47">
        <f t="shared" si="3"/>
        <v>0.14000002072416448</v>
      </c>
    </row>
    <row r="48" spans="19:20" x14ac:dyDescent="0.25">
      <c r="S48">
        <f t="shared" si="4"/>
        <v>0.14700000000000008</v>
      </c>
      <c r="T48">
        <f t="shared" si="3"/>
        <v>0.12000001776356956</v>
      </c>
    </row>
    <row r="49" spans="19:20" x14ac:dyDescent="0.25">
      <c r="S49">
        <f t="shared" si="4"/>
        <v>0.15000000000000008</v>
      </c>
      <c r="T49">
        <f t="shared" si="3"/>
        <v>0.10000001480297463</v>
      </c>
    </row>
    <row r="50" spans="19:20" x14ac:dyDescent="0.25">
      <c r="S50">
        <f t="shared" si="4"/>
        <v>0.15300000000000008</v>
      </c>
      <c r="T50">
        <f t="shared" si="3"/>
        <v>8.0000011842379704E-2</v>
      </c>
    </row>
    <row r="51" spans="19:20" x14ac:dyDescent="0.25">
      <c r="S51">
        <f t="shared" si="4"/>
        <v>0.15600000000000008</v>
      </c>
      <c r="T51">
        <f t="shared" si="3"/>
        <v>6.0000008881784778E-2</v>
      </c>
    </row>
    <row r="52" spans="19:20" x14ac:dyDescent="0.25">
      <c r="S52">
        <f t="shared" si="4"/>
        <v>0.15900000000000009</v>
      </c>
      <c r="T52">
        <f t="shared" si="3"/>
        <v>4.0000005921189852E-2</v>
      </c>
    </row>
    <row r="53" spans="19:20" x14ac:dyDescent="0.25">
      <c r="S53">
        <f t="shared" si="4"/>
        <v>0.16200000000000009</v>
      </c>
      <c r="T53">
        <f t="shared" si="3"/>
        <v>2.0000002960594926E-2</v>
      </c>
    </row>
    <row r="54" spans="19:20" x14ac:dyDescent="0.25">
      <c r="S54">
        <f t="shared" si="4"/>
        <v>0.16500000000000009</v>
      </c>
      <c r="T54">
        <f t="shared" si="3"/>
        <v>0</v>
      </c>
    </row>
    <row r="55" spans="19:20" x14ac:dyDescent="0.25">
      <c r="S55">
        <f t="shared" si="4"/>
        <v>0.16800000000000009</v>
      </c>
      <c r="T55">
        <f t="shared" si="3"/>
        <v>0</v>
      </c>
    </row>
    <row r="56" spans="19:20" x14ac:dyDescent="0.25">
      <c r="S56">
        <f t="shared" si="4"/>
        <v>0.1710000000000001</v>
      </c>
      <c r="T56">
        <f t="shared" si="3"/>
        <v>0</v>
      </c>
    </row>
    <row r="57" spans="19:20" x14ac:dyDescent="0.25">
      <c r="S57">
        <f t="shared" si="4"/>
        <v>0.1740000000000001</v>
      </c>
      <c r="T57">
        <f t="shared" si="3"/>
        <v>0</v>
      </c>
    </row>
    <row r="58" spans="19:20" x14ac:dyDescent="0.25">
      <c r="S58">
        <f t="shared" si="4"/>
        <v>0.1770000000000001</v>
      </c>
      <c r="T58">
        <f t="shared" si="3"/>
        <v>0</v>
      </c>
    </row>
    <row r="59" spans="19:20" x14ac:dyDescent="0.25">
      <c r="S59">
        <f t="shared" si="4"/>
        <v>0.1800000000000001</v>
      </c>
      <c r="T59">
        <f t="shared" si="3"/>
        <v>0</v>
      </c>
    </row>
    <row r="60" spans="19:20" x14ac:dyDescent="0.25">
      <c r="S60">
        <f t="shared" si="4"/>
        <v>0.18300000000000011</v>
      </c>
      <c r="T60">
        <f t="shared" si="3"/>
        <v>0</v>
      </c>
    </row>
    <row r="61" spans="19:20" x14ac:dyDescent="0.25">
      <c r="S61">
        <f t="shared" si="4"/>
        <v>0.18600000000000011</v>
      </c>
      <c r="T61">
        <f t="shared" si="3"/>
        <v>0</v>
      </c>
    </row>
    <row r="62" spans="19:20" x14ac:dyDescent="0.25">
      <c r="S62">
        <f t="shared" si="4"/>
        <v>0.18900000000000011</v>
      </c>
      <c r="T62">
        <f t="shared" si="3"/>
        <v>0</v>
      </c>
    </row>
    <row r="63" spans="19:20" x14ac:dyDescent="0.25">
      <c r="S63">
        <f t="shared" si="4"/>
        <v>0.19200000000000012</v>
      </c>
      <c r="T63">
        <f t="shared" si="3"/>
        <v>0</v>
      </c>
    </row>
    <row r="64" spans="19:20" x14ac:dyDescent="0.25">
      <c r="S64">
        <f t="shared" si="4"/>
        <v>0.19500000000000012</v>
      </c>
      <c r="T64">
        <f t="shared" si="3"/>
        <v>0</v>
      </c>
    </row>
    <row r="65" spans="19:20" x14ac:dyDescent="0.25">
      <c r="S65">
        <f t="shared" si="4"/>
        <v>0.19800000000000012</v>
      </c>
      <c r="T65">
        <f t="shared" si="3"/>
        <v>0</v>
      </c>
    </row>
    <row r="66" spans="19:20" x14ac:dyDescent="0.25">
      <c r="S66">
        <f t="shared" si="4"/>
        <v>0.20100000000000012</v>
      </c>
      <c r="T66">
        <f t="shared" si="3"/>
        <v>0</v>
      </c>
    </row>
    <row r="67" spans="19:20" x14ac:dyDescent="0.25">
      <c r="S67">
        <f t="shared" si="4"/>
        <v>0.20400000000000013</v>
      </c>
      <c r="T67">
        <f t="shared" si="3"/>
        <v>0</v>
      </c>
    </row>
    <row r="68" spans="19:20" x14ac:dyDescent="0.25">
      <c r="S68">
        <f t="shared" si="4"/>
        <v>0.20700000000000013</v>
      </c>
      <c r="T68">
        <f t="shared" si="3"/>
        <v>0</v>
      </c>
    </row>
    <row r="69" spans="19:20" x14ac:dyDescent="0.25">
      <c r="S69">
        <f t="shared" si="4"/>
        <v>0.21000000000000013</v>
      </c>
      <c r="T69">
        <f t="shared" ref="T69:T105" si="5">IF(S69&lt;=MIN($A$2:$A$12),1,IF(S69&gt;=MAX($A$2:$A$12),0,(1/$B$16)*(1-EXP($B$14*(MAX($A$2:$A$12)-S69)^$B$15))))</f>
        <v>0</v>
      </c>
    </row>
    <row r="70" spans="19:20" x14ac:dyDescent="0.25">
      <c r="S70">
        <f t="shared" ref="S70:S105" si="6">S69+(MAX($A$2:$A$12)-$S$4)/50</f>
        <v>0.21300000000000013</v>
      </c>
      <c r="T70">
        <f t="shared" si="5"/>
        <v>0</v>
      </c>
    </row>
    <row r="71" spans="19:20" x14ac:dyDescent="0.25">
      <c r="S71">
        <f t="shared" si="6"/>
        <v>0.21600000000000014</v>
      </c>
      <c r="T71">
        <f t="shared" si="5"/>
        <v>0</v>
      </c>
    </row>
    <row r="72" spans="19:20" x14ac:dyDescent="0.25">
      <c r="S72">
        <f t="shared" si="6"/>
        <v>0.21900000000000014</v>
      </c>
      <c r="T72">
        <f t="shared" si="5"/>
        <v>0</v>
      </c>
    </row>
    <row r="73" spans="19:20" x14ac:dyDescent="0.25">
      <c r="S73">
        <f t="shared" si="6"/>
        <v>0.22200000000000014</v>
      </c>
      <c r="T73">
        <f t="shared" si="5"/>
        <v>0</v>
      </c>
    </row>
    <row r="74" spans="19:20" x14ac:dyDescent="0.25">
      <c r="S74">
        <f t="shared" si="6"/>
        <v>0.22500000000000014</v>
      </c>
      <c r="T74">
        <f t="shared" si="5"/>
        <v>0</v>
      </c>
    </row>
    <row r="75" spans="19:20" x14ac:dyDescent="0.25">
      <c r="S75">
        <f t="shared" si="6"/>
        <v>0.22800000000000015</v>
      </c>
      <c r="T75">
        <f t="shared" si="5"/>
        <v>0</v>
      </c>
    </row>
    <row r="76" spans="19:20" x14ac:dyDescent="0.25">
      <c r="S76">
        <f t="shared" si="6"/>
        <v>0.23100000000000015</v>
      </c>
      <c r="T76">
        <f t="shared" si="5"/>
        <v>0</v>
      </c>
    </row>
    <row r="77" spans="19:20" x14ac:dyDescent="0.25">
      <c r="S77">
        <f t="shared" si="6"/>
        <v>0.23400000000000015</v>
      </c>
      <c r="T77">
        <f t="shared" si="5"/>
        <v>0</v>
      </c>
    </row>
    <row r="78" spans="19:20" x14ac:dyDescent="0.25">
      <c r="S78">
        <f t="shared" si="6"/>
        <v>0.23700000000000015</v>
      </c>
      <c r="T78">
        <f t="shared" si="5"/>
        <v>0</v>
      </c>
    </row>
    <row r="79" spans="19:20" x14ac:dyDescent="0.25">
      <c r="S79">
        <f t="shared" si="6"/>
        <v>0.24000000000000016</v>
      </c>
      <c r="T79">
        <f t="shared" si="5"/>
        <v>0</v>
      </c>
    </row>
    <row r="80" spans="19:20" x14ac:dyDescent="0.25">
      <c r="S80">
        <f t="shared" si="6"/>
        <v>0.24300000000000016</v>
      </c>
      <c r="T80">
        <f t="shared" si="5"/>
        <v>0</v>
      </c>
    </row>
    <row r="81" spans="19:20" x14ac:dyDescent="0.25">
      <c r="S81">
        <f t="shared" si="6"/>
        <v>0.24600000000000016</v>
      </c>
      <c r="T81">
        <f t="shared" si="5"/>
        <v>0</v>
      </c>
    </row>
    <row r="82" spans="19:20" x14ac:dyDescent="0.25">
      <c r="S82">
        <f t="shared" si="6"/>
        <v>0.24900000000000017</v>
      </c>
      <c r="T82">
        <f t="shared" si="5"/>
        <v>0</v>
      </c>
    </row>
    <row r="83" spans="19:20" x14ac:dyDescent="0.25">
      <c r="S83">
        <f t="shared" si="6"/>
        <v>0.25200000000000017</v>
      </c>
      <c r="T83">
        <f t="shared" si="5"/>
        <v>0</v>
      </c>
    </row>
    <row r="84" spans="19:20" x14ac:dyDescent="0.25">
      <c r="S84">
        <f t="shared" si="6"/>
        <v>0.25500000000000017</v>
      </c>
      <c r="T84">
        <f t="shared" si="5"/>
        <v>0</v>
      </c>
    </row>
    <row r="85" spans="19:20" x14ac:dyDescent="0.25">
      <c r="S85">
        <f t="shared" si="6"/>
        <v>0.25800000000000017</v>
      </c>
      <c r="T85">
        <f t="shared" si="5"/>
        <v>0</v>
      </c>
    </row>
    <row r="86" spans="19:20" x14ac:dyDescent="0.25">
      <c r="S86">
        <f t="shared" si="6"/>
        <v>0.26100000000000018</v>
      </c>
      <c r="T86">
        <f t="shared" si="5"/>
        <v>0</v>
      </c>
    </row>
    <row r="87" spans="19:20" x14ac:dyDescent="0.25">
      <c r="S87">
        <f t="shared" si="6"/>
        <v>0.26400000000000018</v>
      </c>
      <c r="T87">
        <f t="shared" si="5"/>
        <v>0</v>
      </c>
    </row>
    <row r="88" spans="19:20" x14ac:dyDescent="0.25">
      <c r="S88">
        <f t="shared" si="6"/>
        <v>0.26700000000000018</v>
      </c>
      <c r="T88">
        <f t="shared" si="5"/>
        <v>0</v>
      </c>
    </row>
    <row r="89" spans="19:20" x14ac:dyDescent="0.25">
      <c r="S89">
        <f t="shared" si="6"/>
        <v>0.27000000000000018</v>
      </c>
      <c r="T89">
        <f t="shared" si="5"/>
        <v>0</v>
      </c>
    </row>
    <row r="90" spans="19:20" x14ac:dyDescent="0.25">
      <c r="S90">
        <f t="shared" si="6"/>
        <v>0.27300000000000019</v>
      </c>
      <c r="T90">
        <f t="shared" si="5"/>
        <v>0</v>
      </c>
    </row>
    <row r="91" spans="19:20" x14ac:dyDescent="0.25">
      <c r="S91">
        <f t="shared" si="6"/>
        <v>0.27600000000000019</v>
      </c>
      <c r="T91">
        <f t="shared" si="5"/>
        <v>0</v>
      </c>
    </row>
    <row r="92" spans="19:20" x14ac:dyDescent="0.25">
      <c r="S92">
        <f t="shared" si="6"/>
        <v>0.27900000000000019</v>
      </c>
      <c r="T92">
        <f t="shared" si="5"/>
        <v>0</v>
      </c>
    </row>
    <row r="93" spans="19:20" x14ac:dyDescent="0.25">
      <c r="S93">
        <f t="shared" si="6"/>
        <v>0.28200000000000019</v>
      </c>
      <c r="T93">
        <f t="shared" si="5"/>
        <v>0</v>
      </c>
    </row>
    <row r="94" spans="19:20" x14ac:dyDescent="0.25">
      <c r="S94">
        <f t="shared" si="6"/>
        <v>0.2850000000000002</v>
      </c>
      <c r="T94">
        <f t="shared" si="5"/>
        <v>0</v>
      </c>
    </row>
    <row r="95" spans="19:20" x14ac:dyDescent="0.25">
      <c r="S95">
        <f t="shared" si="6"/>
        <v>0.2880000000000002</v>
      </c>
      <c r="T95">
        <f t="shared" si="5"/>
        <v>0</v>
      </c>
    </row>
    <row r="96" spans="19:20" x14ac:dyDescent="0.25">
      <c r="S96">
        <f t="shared" si="6"/>
        <v>0.2910000000000002</v>
      </c>
      <c r="T96">
        <f t="shared" si="5"/>
        <v>0</v>
      </c>
    </row>
    <row r="97" spans="19:20" x14ac:dyDescent="0.25">
      <c r="S97">
        <f t="shared" si="6"/>
        <v>0.29400000000000021</v>
      </c>
      <c r="T97">
        <f t="shared" si="5"/>
        <v>0</v>
      </c>
    </row>
    <row r="98" spans="19:20" x14ac:dyDescent="0.25">
      <c r="S98">
        <f t="shared" si="6"/>
        <v>0.29700000000000021</v>
      </c>
      <c r="T98">
        <f t="shared" si="5"/>
        <v>0</v>
      </c>
    </row>
    <row r="99" spans="19:20" x14ac:dyDescent="0.25">
      <c r="S99">
        <f t="shared" si="6"/>
        <v>0.30000000000000021</v>
      </c>
      <c r="T99">
        <f t="shared" si="5"/>
        <v>0</v>
      </c>
    </row>
    <row r="100" spans="19:20" x14ac:dyDescent="0.25">
      <c r="S100">
        <f t="shared" si="6"/>
        <v>0.30300000000000021</v>
      </c>
      <c r="T100">
        <f t="shared" si="5"/>
        <v>0</v>
      </c>
    </row>
    <row r="101" spans="19:20" x14ac:dyDescent="0.25">
      <c r="S101">
        <f t="shared" si="6"/>
        <v>0.30600000000000022</v>
      </c>
      <c r="T101">
        <f t="shared" si="5"/>
        <v>0</v>
      </c>
    </row>
    <row r="102" spans="19:20" x14ac:dyDescent="0.25">
      <c r="S102">
        <f t="shared" si="6"/>
        <v>0.30900000000000022</v>
      </c>
      <c r="T102">
        <f t="shared" si="5"/>
        <v>0</v>
      </c>
    </row>
    <row r="103" spans="19:20" x14ac:dyDescent="0.25">
      <c r="S103">
        <f t="shared" si="6"/>
        <v>0.31200000000000022</v>
      </c>
      <c r="T103">
        <f t="shared" si="5"/>
        <v>0</v>
      </c>
    </row>
    <row r="104" spans="19:20" x14ac:dyDescent="0.25">
      <c r="S104">
        <f t="shared" si="6"/>
        <v>0.31500000000000022</v>
      </c>
      <c r="T104">
        <f t="shared" si="5"/>
        <v>0</v>
      </c>
    </row>
    <row r="105" spans="19:20" x14ac:dyDescent="0.25">
      <c r="S105">
        <f t="shared" si="6"/>
        <v>0.31800000000000023</v>
      </c>
      <c r="T105">
        <f t="shared" si="5"/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6" sqref="B6"/>
    </sheetView>
  </sheetViews>
  <sheetFormatPr defaultRowHeight="15" x14ac:dyDescent="0.25"/>
  <cols>
    <col min="1" max="1" width="10.28515625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30" t="s">
        <v>5</v>
      </c>
      <c r="B1" s="30" t="s">
        <v>219</v>
      </c>
    </row>
    <row r="2" spans="1:17" x14ac:dyDescent="0.25">
      <c r="A2" t="s">
        <v>116</v>
      </c>
      <c r="B2">
        <v>0</v>
      </c>
      <c r="P2" s="28"/>
      <c r="Q2" s="28"/>
    </row>
    <row r="3" spans="1:17" x14ac:dyDescent="0.25">
      <c r="A3" t="s">
        <v>123</v>
      </c>
      <c r="B3">
        <v>1</v>
      </c>
      <c r="P3" s="28"/>
      <c r="Q3" s="28"/>
    </row>
    <row r="4" spans="1:17" x14ac:dyDescent="0.25">
      <c r="P4" s="28"/>
      <c r="Q4" s="28"/>
    </row>
    <row r="5" spans="1:17" x14ac:dyDescent="0.25">
      <c r="P5" s="28"/>
      <c r="Q5" s="28"/>
    </row>
    <row r="6" spans="1:17" x14ac:dyDescent="0.25">
      <c r="P6" s="28"/>
      <c r="Q6" s="28"/>
    </row>
    <row r="7" spans="1:17" x14ac:dyDescent="0.25">
      <c r="P7" s="28"/>
      <c r="Q7" s="28"/>
    </row>
    <row r="8" spans="1:17" x14ac:dyDescent="0.25">
      <c r="P8" s="28"/>
      <c r="Q8" s="28"/>
    </row>
    <row r="9" spans="1:17" x14ac:dyDescent="0.25">
      <c r="P9" s="28"/>
      <c r="Q9" s="28"/>
    </row>
    <row r="10" spans="1:17" x14ac:dyDescent="0.25">
      <c r="P10" s="28"/>
      <c r="Q10" s="28"/>
    </row>
    <row r="11" spans="1:17" x14ac:dyDescent="0.25">
      <c r="P11" s="28"/>
      <c r="Q11" s="28"/>
    </row>
    <row r="12" spans="1:17" x14ac:dyDescent="0.25">
      <c r="P12" s="28"/>
      <c r="Q12" s="28"/>
    </row>
    <row r="14" spans="1:17" x14ac:dyDescent="0.25">
      <c r="B14" s="29"/>
      <c r="Q14" s="28"/>
    </row>
    <row r="15" spans="1:17" x14ac:dyDescent="0.25">
      <c r="B15" s="28"/>
    </row>
    <row r="16" spans="1:17" x14ac:dyDescent="0.25">
      <c r="B16" s="2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Charts</vt:lpstr>
      </vt:variant>
      <vt:variant>
        <vt:i4>1</vt:i4>
      </vt:variant>
    </vt:vector>
  </HeadingPairs>
  <TitlesOfParts>
    <vt:vector size="21" baseType="lpstr">
      <vt:lpstr>Aerial Platform</vt:lpstr>
      <vt:lpstr>Comm Payload</vt:lpstr>
      <vt:lpstr>Useful load</vt:lpstr>
      <vt:lpstr>Ceiling</vt:lpstr>
      <vt:lpstr>Endurance</vt:lpstr>
      <vt:lpstr>Range</vt:lpstr>
      <vt:lpstr>Cruise speed</vt:lpstr>
      <vt:lpstr>Observability</vt:lpstr>
      <vt:lpstr>Stealth</vt:lpstr>
      <vt:lpstr>Technology maturity</vt:lpstr>
      <vt:lpstr>All weather</vt:lpstr>
      <vt:lpstr>Man portability</vt:lpstr>
      <vt:lpstr>Launch method</vt:lpstr>
      <vt:lpstr>Recovery method</vt:lpstr>
      <vt:lpstr>Tradeoff weights</vt:lpstr>
      <vt:lpstr>MoE</vt:lpstr>
      <vt:lpstr>UAV V(x)</vt:lpstr>
      <vt:lpstr>UAV MOE</vt:lpstr>
      <vt:lpstr>Comm V(x)</vt:lpstr>
      <vt:lpstr>Comm MOE</vt:lpstr>
      <vt:lpstr>Cost effectiveness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2014-05-23T23:07:31Z</dcterms:modified>
</cp:coreProperties>
</file>