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825" windowWidth="8040" windowHeight="4890" tabRatio="588" firstSheet="14" activeTab="16"/>
  </bookViews>
  <sheets>
    <sheet name="Aerial Platform" sheetId="1" r:id="rId1"/>
    <sheet name="Comm Payload" sheetId="2" r:id="rId2"/>
    <sheet name="Useful load" sheetId="14" r:id="rId3"/>
    <sheet name="Ceiling" sheetId="15" r:id="rId4"/>
    <sheet name="Endurance" sheetId="16" r:id="rId5"/>
    <sheet name="Range" sheetId="17" r:id="rId6"/>
    <sheet name="Cruise speed" sheetId="18" r:id="rId7"/>
    <sheet name="Observability" sheetId="24" r:id="rId8"/>
    <sheet name="Stealth" sheetId="26" r:id="rId9"/>
    <sheet name="Technology maturity" sheetId="19" r:id="rId10"/>
    <sheet name="All weather" sheetId="20" r:id="rId11"/>
    <sheet name="Man portability" sheetId="21" r:id="rId12"/>
    <sheet name="Launch method" sheetId="22" r:id="rId13"/>
    <sheet name="Recovery method" sheetId="23" r:id="rId14"/>
    <sheet name="Tradeoff weights" sheetId="25" r:id="rId15"/>
    <sheet name="MoE" sheetId="27" r:id="rId16"/>
    <sheet name="Cost effectiveness" sheetId="28" r:id="rId17"/>
  </sheets>
  <externalReferences>
    <externalReference r:id="rId18"/>
  </externalReferences>
  <definedNames>
    <definedName name="solver_adj" localSheetId="10" hidden="1">'All weather'!$B$14:$B$15</definedName>
    <definedName name="solver_adj" localSheetId="3" hidden="1">Ceiling!$B$14:$B$15</definedName>
    <definedName name="solver_adj" localSheetId="6" hidden="1">'Cruise speed'!$B$14:$B$15</definedName>
    <definedName name="solver_adj" localSheetId="4" hidden="1">Endurance!$B$14:$B$15</definedName>
    <definedName name="solver_adj" localSheetId="12" hidden="1">'Launch method'!$B$14:$B$15</definedName>
    <definedName name="solver_adj" localSheetId="11" hidden="1">'Man portability'!$B$14:$B$15</definedName>
    <definedName name="solver_adj" localSheetId="7" hidden="1">Observability!$B$14:$B$15</definedName>
    <definedName name="solver_adj" localSheetId="5" hidden="1">Range!$B$14:$B$15</definedName>
    <definedName name="solver_adj" localSheetId="13" hidden="1">'Recovery method'!$B$14:$B$15</definedName>
    <definedName name="solver_adj" localSheetId="8" hidden="1">Stealth!$B$14:$B$15</definedName>
    <definedName name="solver_adj" localSheetId="9" hidden="1">'Technology maturity'!$B$14:$B$15</definedName>
    <definedName name="solver_adj" localSheetId="2" hidden="1">'Useful load'!$B$14:$B$15</definedName>
    <definedName name="solver_cvg" localSheetId="10" hidden="1">0.0001</definedName>
    <definedName name="solver_cvg" localSheetId="3" hidden="1">0.0001</definedName>
    <definedName name="solver_cvg" localSheetId="6" hidden="1">0.0001</definedName>
    <definedName name="solver_cvg" localSheetId="4" hidden="1">0.0001</definedName>
    <definedName name="solver_cvg" localSheetId="12" hidden="1">0.0001</definedName>
    <definedName name="solver_cvg" localSheetId="11" hidden="1">0.0001</definedName>
    <definedName name="solver_cvg" localSheetId="7" hidden="1">0.0001</definedName>
    <definedName name="solver_cvg" localSheetId="5" hidden="1">0.0001</definedName>
    <definedName name="solver_cvg" localSheetId="13" hidden="1">0.0001</definedName>
    <definedName name="solver_cvg" localSheetId="8" hidden="1">0.0001</definedName>
    <definedName name="solver_cvg" localSheetId="9" hidden="1">0.0001</definedName>
    <definedName name="solver_cvg" localSheetId="2" hidden="1">0.0001</definedName>
    <definedName name="solver_drv" localSheetId="10" hidden="1">1</definedName>
    <definedName name="solver_drv" localSheetId="3" hidden="1">1</definedName>
    <definedName name="solver_drv" localSheetId="6" hidden="1">1</definedName>
    <definedName name="solver_drv" localSheetId="4" hidden="1">1</definedName>
    <definedName name="solver_drv" localSheetId="12" hidden="1">1</definedName>
    <definedName name="solver_drv" localSheetId="11" hidden="1">1</definedName>
    <definedName name="solver_drv" localSheetId="7" hidden="1">1</definedName>
    <definedName name="solver_drv" localSheetId="5" hidden="1">1</definedName>
    <definedName name="solver_drv" localSheetId="13" hidden="1">1</definedName>
    <definedName name="solver_drv" localSheetId="8" hidden="1">1</definedName>
    <definedName name="solver_drv" localSheetId="9" hidden="1">1</definedName>
    <definedName name="solver_drv" localSheetId="2" hidden="1">1</definedName>
    <definedName name="solver_eng" localSheetId="10" hidden="1">1</definedName>
    <definedName name="solver_eng" localSheetId="3" hidden="1">1</definedName>
    <definedName name="solver_eng" localSheetId="6" hidden="1">1</definedName>
    <definedName name="solver_eng" localSheetId="4" hidden="1">1</definedName>
    <definedName name="solver_eng" localSheetId="12" hidden="1">1</definedName>
    <definedName name="solver_eng" localSheetId="11" hidden="1">1</definedName>
    <definedName name="solver_eng" localSheetId="7" hidden="1">1</definedName>
    <definedName name="solver_eng" localSheetId="5" hidden="1">1</definedName>
    <definedName name="solver_eng" localSheetId="13" hidden="1">1</definedName>
    <definedName name="solver_eng" localSheetId="8" hidden="1">1</definedName>
    <definedName name="solver_eng" localSheetId="9" hidden="1">1</definedName>
    <definedName name="solver_eng" localSheetId="2" hidden="1">1</definedName>
    <definedName name="solver_est" localSheetId="10" hidden="1">1</definedName>
    <definedName name="solver_est" localSheetId="3" hidden="1">1</definedName>
    <definedName name="solver_est" localSheetId="6" hidden="1">1</definedName>
    <definedName name="solver_est" localSheetId="4" hidden="1">1</definedName>
    <definedName name="solver_est" localSheetId="12" hidden="1">1</definedName>
    <definedName name="solver_est" localSheetId="11" hidden="1">1</definedName>
    <definedName name="solver_est" localSheetId="7" hidden="1">1</definedName>
    <definedName name="solver_est" localSheetId="5" hidden="1">1</definedName>
    <definedName name="solver_est" localSheetId="13" hidden="1">1</definedName>
    <definedName name="solver_est" localSheetId="8" hidden="1">1</definedName>
    <definedName name="solver_est" localSheetId="9" hidden="1">1</definedName>
    <definedName name="solver_est" localSheetId="2" hidden="1">1</definedName>
    <definedName name="solver_itr" localSheetId="10" hidden="1">2147483647</definedName>
    <definedName name="solver_itr" localSheetId="3" hidden="1">2147483647</definedName>
    <definedName name="solver_itr" localSheetId="6" hidden="1">2147483647</definedName>
    <definedName name="solver_itr" localSheetId="4" hidden="1">2147483647</definedName>
    <definedName name="solver_itr" localSheetId="12" hidden="1">2147483647</definedName>
    <definedName name="solver_itr" localSheetId="11" hidden="1">2147483647</definedName>
    <definedName name="solver_itr" localSheetId="7" hidden="1">2147483647</definedName>
    <definedName name="solver_itr" localSheetId="5" hidden="1">2147483647</definedName>
    <definedName name="solver_itr" localSheetId="13" hidden="1">2147483647</definedName>
    <definedName name="solver_itr" localSheetId="8" hidden="1">2147483647</definedName>
    <definedName name="solver_itr" localSheetId="9" hidden="1">2147483647</definedName>
    <definedName name="solver_itr" localSheetId="2" hidden="1">2147483647</definedName>
    <definedName name="solver_lhs1" localSheetId="10" hidden="1">'All weather'!$B$15</definedName>
    <definedName name="solver_lhs1" localSheetId="3" hidden="1">Ceiling!$B$15</definedName>
    <definedName name="solver_lhs1" localSheetId="6" hidden="1">'Cruise speed'!$B$15</definedName>
    <definedName name="solver_lhs1" localSheetId="4" hidden="1">Endurance!$B$15</definedName>
    <definedName name="solver_lhs1" localSheetId="12" hidden="1">'Launch method'!$B$15</definedName>
    <definedName name="solver_lhs1" localSheetId="11" hidden="1">'Man portability'!$B$15</definedName>
    <definedName name="solver_lhs1" localSheetId="7" hidden="1">Observability!$B$15</definedName>
    <definedName name="solver_lhs1" localSheetId="5" hidden="1">Range!$B$15</definedName>
    <definedName name="solver_lhs1" localSheetId="13" hidden="1">'Recovery method'!$B$15</definedName>
    <definedName name="solver_lhs1" localSheetId="8" hidden="1">Stealth!$B$15</definedName>
    <definedName name="solver_lhs1" localSheetId="9" hidden="1">'Technology maturity'!$B$15</definedName>
    <definedName name="solver_lhs1" localSheetId="2" hidden="1">'Useful load'!$B$15</definedName>
    <definedName name="solver_mip" localSheetId="10" hidden="1">2147483647</definedName>
    <definedName name="solver_mip" localSheetId="3" hidden="1">2147483647</definedName>
    <definedName name="solver_mip" localSheetId="6" hidden="1">2147483647</definedName>
    <definedName name="solver_mip" localSheetId="4" hidden="1">2147483647</definedName>
    <definedName name="solver_mip" localSheetId="12" hidden="1">2147483647</definedName>
    <definedName name="solver_mip" localSheetId="11" hidden="1">2147483647</definedName>
    <definedName name="solver_mip" localSheetId="7" hidden="1">2147483647</definedName>
    <definedName name="solver_mip" localSheetId="5" hidden="1">2147483647</definedName>
    <definedName name="solver_mip" localSheetId="13" hidden="1">2147483647</definedName>
    <definedName name="solver_mip" localSheetId="8" hidden="1">2147483647</definedName>
    <definedName name="solver_mip" localSheetId="9" hidden="1">2147483647</definedName>
    <definedName name="solver_mip" localSheetId="2" hidden="1">2147483647</definedName>
    <definedName name="solver_mni" localSheetId="10" hidden="1">30</definedName>
    <definedName name="solver_mni" localSheetId="3" hidden="1">30</definedName>
    <definedName name="solver_mni" localSheetId="6" hidden="1">30</definedName>
    <definedName name="solver_mni" localSheetId="4" hidden="1">30</definedName>
    <definedName name="solver_mni" localSheetId="12" hidden="1">30</definedName>
    <definedName name="solver_mni" localSheetId="11" hidden="1">30</definedName>
    <definedName name="solver_mni" localSheetId="7" hidden="1">30</definedName>
    <definedName name="solver_mni" localSheetId="5" hidden="1">30</definedName>
    <definedName name="solver_mni" localSheetId="13" hidden="1">30</definedName>
    <definedName name="solver_mni" localSheetId="8" hidden="1">30</definedName>
    <definedName name="solver_mni" localSheetId="9" hidden="1">30</definedName>
    <definedName name="solver_mni" localSheetId="2" hidden="1">30</definedName>
    <definedName name="solver_mrt" localSheetId="10" hidden="1">0.075</definedName>
    <definedName name="solver_mrt" localSheetId="3" hidden="1">0.075</definedName>
    <definedName name="solver_mrt" localSheetId="6" hidden="1">0.075</definedName>
    <definedName name="solver_mrt" localSheetId="4" hidden="1">0.075</definedName>
    <definedName name="solver_mrt" localSheetId="12" hidden="1">0.075</definedName>
    <definedName name="solver_mrt" localSheetId="11" hidden="1">0.075</definedName>
    <definedName name="solver_mrt" localSheetId="7" hidden="1">0.075</definedName>
    <definedName name="solver_mrt" localSheetId="5" hidden="1">0.075</definedName>
    <definedName name="solver_mrt" localSheetId="13" hidden="1">0.075</definedName>
    <definedName name="solver_mrt" localSheetId="8" hidden="1">0.075</definedName>
    <definedName name="solver_mrt" localSheetId="9" hidden="1">0.075</definedName>
    <definedName name="solver_mrt" localSheetId="2" hidden="1">0.075</definedName>
    <definedName name="solver_msl" localSheetId="10" hidden="1">2</definedName>
    <definedName name="solver_msl" localSheetId="3" hidden="1">2</definedName>
    <definedName name="solver_msl" localSheetId="6" hidden="1">2</definedName>
    <definedName name="solver_msl" localSheetId="4" hidden="1">2</definedName>
    <definedName name="solver_msl" localSheetId="12" hidden="1">2</definedName>
    <definedName name="solver_msl" localSheetId="11" hidden="1">2</definedName>
    <definedName name="solver_msl" localSheetId="7" hidden="1">2</definedName>
    <definedName name="solver_msl" localSheetId="5" hidden="1">2</definedName>
    <definedName name="solver_msl" localSheetId="13" hidden="1">2</definedName>
    <definedName name="solver_msl" localSheetId="8" hidden="1">2</definedName>
    <definedName name="solver_msl" localSheetId="9" hidden="1">2</definedName>
    <definedName name="solver_msl" localSheetId="2" hidden="1">2</definedName>
    <definedName name="solver_neg" localSheetId="10" hidden="1">2</definedName>
    <definedName name="solver_neg" localSheetId="3" hidden="1">2</definedName>
    <definedName name="solver_neg" localSheetId="6" hidden="1">2</definedName>
    <definedName name="solver_neg" localSheetId="4" hidden="1">2</definedName>
    <definedName name="solver_neg" localSheetId="12" hidden="1">2</definedName>
    <definedName name="solver_neg" localSheetId="11" hidden="1">2</definedName>
    <definedName name="solver_neg" localSheetId="7" hidden="1">2</definedName>
    <definedName name="solver_neg" localSheetId="5" hidden="1">2</definedName>
    <definedName name="solver_neg" localSheetId="13" hidden="1">2</definedName>
    <definedName name="solver_neg" localSheetId="8" hidden="1">2</definedName>
    <definedName name="solver_neg" localSheetId="9" hidden="1">2</definedName>
    <definedName name="solver_neg" localSheetId="2" hidden="1">2</definedName>
    <definedName name="solver_nod" localSheetId="10" hidden="1">2147483647</definedName>
    <definedName name="solver_nod" localSheetId="3" hidden="1">2147483647</definedName>
    <definedName name="solver_nod" localSheetId="6" hidden="1">2147483647</definedName>
    <definedName name="solver_nod" localSheetId="4" hidden="1">2147483647</definedName>
    <definedName name="solver_nod" localSheetId="12" hidden="1">2147483647</definedName>
    <definedName name="solver_nod" localSheetId="11" hidden="1">2147483647</definedName>
    <definedName name="solver_nod" localSheetId="7" hidden="1">2147483647</definedName>
    <definedName name="solver_nod" localSheetId="5" hidden="1">2147483647</definedName>
    <definedName name="solver_nod" localSheetId="13" hidden="1">2147483647</definedName>
    <definedName name="solver_nod" localSheetId="8" hidden="1">2147483647</definedName>
    <definedName name="solver_nod" localSheetId="9" hidden="1">2147483647</definedName>
    <definedName name="solver_nod" localSheetId="2" hidden="1">2147483647</definedName>
    <definedName name="solver_num" localSheetId="10" hidden="1">1</definedName>
    <definedName name="solver_num" localSheetId="3" hidden="1">1</definedName>
    <definedName name="solver_num" localSheetId="6" hidden="1">1</definedName>
    <definedName name="solver_num" localSheetId="4" hidden="1">1</definedName>
    <definedName name="solver_num" localSheetId="12" hidden="1">1</definedName>
    <definedName name="solver_num" localSheetId="11" hidden="1">1</definedName>
    <definedName name="solver_num" localSheetId="7" hidden="1">1</definedName>
    <definedName name="solver_num" localSheetId="5" hidden="1">1</definedName>
    <definedName name="solver_num" localSheetId="13" hidden="1">1</definedName>
    <definedName name="solver_num" localSheetId="8" hidden="1">1</definedName>
    <definedName name="solver_num" localSheetId="9" hidden="1">1</definedName>
    <definedName name="solver_num" localSheetId="2" hidden="1">1</definedName>
    <definedName name="solver_nwt" localSheetId="10" hidden="1">1</definedName>
    <definedName name="solver_nwt" localSheetId="3" hidden="1">1</definedName>
    <definedName name="solver_nwt" localSheetId="6" hidden="1">1</definedName>
    <definedName name="solver_nwt" localSheetId="4" hidden="1">1</definedName>
    <definedName name="solver_nwt" localSheetId="12" hidden="1">1</definedName>
    <definedName name="solver_nwt" localSheetId="11" hidden="1">1</definedName>
    <definedName name="solver_nwt" localSheetId="7" hidden="1">1</definedName>
    <definedName name="solver_nwt" localSheetId="5" hidden="1">1</definedName>
    <definedName name="solver_nwt" localSheetId="13" hidden="1">1</definedName>
    <definedName name="solver_nwt" localSheetId="8" hidden="1">1</definedName>
    <definedName name="solver_nwt" localSheetId="9" hidden="1">1</definedName>
    <definedName name="solver_nwt" localSheetId="2" hidden="1">1</definedName>
    <definedName name="solver_opt" localSheetId="10" hidden="1">'All weather'!$Q$14</definedName>
    <definedName name="solver_opt" localSheetId="3" hidden="1">Ceiling!$Q$14</definedName>
    <definedName name="solver_opt" localSheetId="6" hidden="1">'Cruise speed'!$Q$14</definedName>
    <definedName name="solver_opt" localSheetId="4" hidden="1">Endurance!$Q$14</definedName>
    <definedName name="solver_opt" localSheetId="12" hidden="1">'Launch method'!$Q$14</definedName>
    <definedName name="solver_opt" localSheetId="11" hidden="1">'Man portability'!$Q$14</definedName>
    <definedName name="solver_opt" localSheetId="7" hidden="1">Observability!$Q$14</definedName>
    <definedName name="solver_opt" localSheetId="5" hidden="1">Range!$Q$14</definedName>
    <definedName name="solver_opt" localSheetId="13" hidden="1">'Recovery method'!$Q$14</definedName>
    <definedName name="solver_opt" localSheetId="8" hidden="1">Stealth!$Q$14</definedName>
    <definedName name="solver_opt" localSheetId="9" hidden="1">'Technology maturity'!$Q$14</definedName>
    <definedName name="solver_opt" localSheetId="2" hidden="1">'Useful load'!$Q$14</definedName>
    <definedName name="solver_pre" localSheetId="10" hidden="1">0.000001</definedName>
    <definedName name="solver_pre" localSheetId="3" hidden="1">0.000001</definedName>
    <definedName name="solver_pre" localSheetId="6" hidden="1">0.000001</definedName>
    <definedName name="solver_pre" localSheetId="4" hidden="1">0.000001</definedName>
    <definedName name="solver_pre" localSheetId="12" hidden="1">0.000001</definedName>
    <definedName name="solver_pre" localSheetId="11" hidden="1">0.000001</definedName>
    <definedName name="solver_pre" localSheetId="7" hidden="1">0.000001</definedName>
    <definedName name="solver_pre" localSheetId="5" hidden="1">0.000001</definedName>
    <definedName name="solver_pre" localSheetId="13" hidden="1">0.000001</definedName>
    <definedName name="solver_pre" localSheetId="8" hidden="1">0.000001</definedName>
    <definedName name="solver_pre" localSheetId="9" hidden="1">0.000001</definedName>
    <definedName name="solver_pre" localSheetId="2" hidden="1">0.000001</definedName>
    <definedName name="solver_rbv" localSheetId="10" hidden="1">2</definedName>
    <definedName name="solver_rbv" localSheetId="3" hidden="1">2</definedName>
    <definedName name="solver_rbv" localSheetId="6" hidden="1">2</definedName>
    <definedName name="solver_rbv" localSheetId="4" hidden="1">2</definedName>
    <definedName name="solver_rbv" localSheetId="12" hidden="1">2</definedName>
    <definedName name="solver_rbv" localSheetId="11" hidden="1">2</definedName>
    <definedName name="solver_rbv" localSheetId="7" hidden="1">2</definedName>
    <definedName name="solver_rbv" localSheetId="5" hidden="1">2</definedName>
    <definedName name="solver_rbv" localSheetId="13" hidden="1">2</definedName>
    <definedName name="solver_rbv" localSheetId="8" hidden="1">2</definedName>
    <definedName name="solver_rbv" localSheetId="9" hidden="1">2</definedName>
    <definedName name="solver_rbv" localSheetId="2" hidden="1">2</definedName>
    <definedName name="solver_rel1" localSheetId="10" hidden="1">3</definedName>
    <definedName name="solver_rel1" localSheetId="3" hidden="1">3</definedName>
    <definedName name="solver_rel1" localSheetId="6" hidden="1">3</definedName>
    <definedName name="solver_rel1" localSheetId="4" hidden="1">3</definedName>
    <definedName name="solver_rel1" localSheetId="12" hidden="1">3</definedName>
    <definedName name="solver_rel1" localSheetId="11" hidden="1">3</definedName>
    <definedName name="solver_rel1" localSheetId="7" hidden="1">3</definedName>
    <definedName name="solver_rel1" localSheetId="5" hidden="1">3</definedName>
    <definedName name="solver_rel1" localSheetId="13" hidden="1">3</definedName>
    <definedName name="solver_rel1" localSheetId="8" hidden="1">3</definedName>
    <definedName name="solver_rel1" localSheetId="9" hidden="1">3</definedName>
    <definedName name="solver_rel1" localSheetId="2" hidden="1">3</definedName>
    <definedName name="solver_rhs1" localSheetId="10" hidden="1">0</definedName>
    <definedName name="solver_rhs1" localSheetId="3" hidden="1">0</definedName>
    <definedName name="solver_rhs1" localSheetId="6" hidden="1">0</definedName>
    <definedName name="solver_rhs1" localSheetId="4" hidden="1">0</definedName>
    <definedName name="solver_rhs1" localSheetId="12" hidden="1">0</definedName>
    <definedName name="solver_rhs1" localSheetId="11" hidden="1">0</definedName>
    <definedName name="solver_rhs1" localSheetId="7" hidden="1">0</definedName>
    <definedName name="solver_rhs1" localSheetId="5" hidden="1">0</definedName>
    <definedName name="solver_rhs1" localSheetId="13" hidden="1">0</definedName>
    <definedName name="solver_rhs1" localSheetId="8" hidden="1">0</definedName>
    <definedName name="solver_rhs1" localSheetId="9" hidden="1">0</definedName>
    <definedName name="solver_rhs1" localSheetId="2" hidden="1">0</definedName>
    <definedName name="solver_rlx" localSheetId="10" hidden="1">2</definedName>
    <definedName name="solver_rlx" localSheetId="3" hidden="1">2</definedName>
    <definedName name="solver_rlx" localSheetId="6" hidden="1">2</definedName>
    <definedName name="solver_rlx" localSheetId="4" hidden="1">2</definedName>
    <definedName name="solver_rlx" localSheetId="12" hidden="1">2</definedName>
    <definedName name="solver_rlx" localSheetId="11" hidden="1">2</definedName>
    <definedName name="solver_rlx" localSheetId="7" hidden="1">2</definedName>
    <definedName name="solver_rlx" localSheetId="5" hidden="1">2</definedName>
    <definedName name="solver_rlx" localSheetId="13" hidden="1">2</definedName>
    <definedName name="solver_rlx" localSheetId="8" hidden="1">2</definedName>
    <definedName name="solver_rlx" localSheetId="9" hidden="1">2</definedName>
    <definedName name="solver_rlx" localSheetId="2" hidden="1">2</definedName>
    <definedName name="solver_rsd" localSheetId="10" hidden="1">0</definedName>
    <definedName name="solver_rsd" localSheetId="3" hidden="1">0</definedName>
    <definedName name="solver_rsd" localSheetId="6" hidden="1">0</definedName>
    <definedName name="solver_rsd" localSheetId="4" hidden="1">0</definedName>
    <definedName name="solver_rsd" localSheetId="12" hidden="1">0</definedName>
    <definedName name="solver_rsd" localSheetId="11" hidden="1">0</definedName>
    <definedName name="solver_rsd" localSheetId="7" hidden="1">0</definedName>
    <definedName name="solver_rsd" localSheetId="5" hidden="1">0</definedName>
    <definedName name="solver_rsd" localSheetId="13" hidden="1">0</definedName>
    <definedName name="solver_rsd" localSheetId="8" hidden="1">0</definedName>
    <definedName name="solver_rsd" localSheetId="9" hidden="1">0</definedName>
    <definedName name="solver_rsd" localSheetId="2" hidden="1">0</definedName>
    <definedName name="solver_scl" localSheetId="10" hidden="1">1</definedName>
    <definedName name="solver_scl" localSheetId="3" hidden="1">1</definedName>
    <definedName name="solver_scl" localSheetId="6" hidden="1">1</definedName>
    <definedName name="solver_scl" localSheetId="4" hidden="1">1</definedName>
    <definedName name="solver_scl" localSheetId="12" hidden="1">1</definedName>
    <definedName name="solver_scl" localSheetId="11" hidden="1">1</definedName>
    <definedName name="solver_scl" localSheetId="7" hidden="1">1</definedName>
    <definedName name="solver_scl" localSheetId="5" hidden="1">1</definedName>
    <definedName name="solver_scl" localSheetId="13" hidden="1">1</definedName>
    <definedName name="solver_scl" localSheetId="8" hidden="1">1</definedName>
    <definedName name="solver_scl" localSheetId="9" hidden="1">1</definedName>
    <definedName name="solver_scl" localSheetId="2" hidden="1">1</definedName>
    <definedName name="solver_sho" localSheetId="10" hidden="1">2</definedName>
    <definedName name="solver_sho" localSheetId="3" hidden="1">2</definedName>
    <definedName name="solver_sho" localSheetId="6" hidden="1">2</definedName>
    <definedName name="solver_sho" localSheetId="4" hidden="1">2</definedName>
    <definedName name="solver_sho" localSheetId="12" hidden="1">2</definedName>
    <definedName name="solver_sho" localSheetId="11" hidden="1">2</definedName>
    <definedName name="solver_sho" localSheetId="7" hidden="1">2</definedName>
    <definedName name="solver_sho" localSheetId="5" hidden="1">2</definedName>
    <definedName name="solver_sho" localSheetId="13" hidden="1">2</definedName>
    <definedName name="solver_sho" localSheetId="8" hidden="1">2</definedName>
    <definedName name="solver_sho" localSheetId="9" hidden="1">2</definedName>
    <definedName name="solver_sho" localSheetId="2" hidden="1">2</definedName>
    <definedName name="solver_ssz" localSheetId="10" hidden="1">100</definedName>
    <definedName name="solver_ssz" localSheetId="3" hidden="1">100</definedName>
    <definedName name="solver_ssz" localSheetId="6" hidden="1">100</definedName>
    <definedName name="solver_ssz" localSheetId="4" hidden="1">100</definedName>
    <definedName name="solver_ssz" localSheetId="12" hidden="1">100</definedName>
    <definedName name="solver_ssz" localSheetId="11" hidden="1">100</definedName>
    <definedName name="solver_ssz" localSheetId="7" hidden="1">100</definedName>
    <definedName name="solver_ssz" localSheetId="5" hidden="1">100</definedName>
    <definedName name="solver_ssz" localSheetId="13" hidden="1">100</definedName>
    <definedName name="solver_ssz" localSheetId="8" hidden="1">100</definedName>
    <definedName name="solver_ssz" localSheetId="9" hidden="1">100</definedName>
    <definedName name="solver_ssz" localSheetId="2" hidden="1">100</definedName>
    <definedName name="solver_tim" localSheetId="10" hidden="1">2147483647</definedName>
    <definedName name="solver_tim" localSheetId="3" hidden="1">2147483647</definedName>
    <definedName name="solver_tim" localSheetId="6" hidden="1">2147483647</definedName>
    <definedName name="solver_tim" localSheetId="4" hidden="1">2147483647</definedName>
    <definedName name="solver_tim" localSheetId="12" hidden="1">2147483647</definedName>
    <definedName name="solver_tim" localSheetId="11" hidden="1">2147483647</definedName>
    <definedName name="solver_tim" localSheetId="7" hidden="1">2147483647</definedName>
    <definedName name="solver_tim" localSheetId="5" hidden="1">2147483647</definedName>
    <definedName name="solver_tim" localSheetId="13" hidden="1">2147483647</definedName>
    <definedName name="solver_tim" localSheetId="8" hidden="1">2147483647</definedName>
    <definedName name="solver_tim" localSheetId="9" hidden="1">2147483647</definedName>
    <definedName name="solver_tim" localSheetId="2" hidden="1">2147483647</definedName>
    <definedName name="solver_tol" localSheetId="10" hidden="1">0.01</definedName>
    <definedName name="solver_tol" localSheetId="3" hidden="1">0.01</definedName>
    <definedName name="solver_tol" localSheetId="6" hidden="1">0.01</definedName>
    <definedName name="solver_tol" localSheetId="4" hidden="1">0.01</definedName>
    <definedName name="solver_tol" localSheetId="12" hidden="1">0.01</definedName>
    <definedName name="solver_tol" localSheetId="11" hidden="1">0.01</definedName>
    <definedName name="solver_tol" localSheetId="7" hidden="1">0.01</definedName>
    <definedName name="solver_tol" localSheetId="5" hidden="1">0.01</definedName>
    <definedName name="solver_tol" localSheetId="13" hidden="1">0.01</definedName>
    <definedName name="solver_tol" localSheetId="8" hidden="1">0.01</definedName>
    <definedName name="solver_tol" localSheetId="9" hidden="1">0.01</definedName>
    <definedName name="solver_tol" localSheetId="2" hidden="1">0.01</definedName>
    <definedName name="solver_typ" localSheetId="10" hidden="1">2</definedName>
    <definedName name="solver_typ" localSheetId="3" hidden="1">2</definedName>
    <definedName name="solver_typ" localSheetId="6" hidden="1">2</definedName>
    <definedName name="solver_typ" localSheetId="4" hidden="1">2</definedName>
    <definedName name="solver_typ" localSheetId="12" hidden="1">2</definedName>
    <definedName name="solver_typ" localSheetId="11" hidden="1">2</definedName>
    <definedName name="solver_typ" localSheetId="7" hidden="1">2</definedName>
    <definedName name="solver_typ" localSheetId="5" hidden="1">2</definedName>
    <definedName name="solver_typ" localSheetId="13" hidden="1">2</definedName>
    <definedName name="solver_typ" localSheetId="8" hidden="1">2</definedName>
    <definedName name="solver_typ" localSheetId="9" hidden="1">2</definedName>
    <definedName name="solver_typ" localSheetId="2" hidden="1">2</definedName>
    <definedName name="solver_val" localSheetId="10" hidden="1">0</definedName>
    <definedName name="solver_val" localSheetId="3" hidden="1">0</definedName>
    <definedName name="solver_val" localSheetId="6" hidden="1">0</definedName>
    <definedName name="solver_val" localSheetId="4" hidden="1">0</definedName>
    <definedName name="solver_val" localSheetId="12" hidden="1">0</definedName>
    <definedName name="solver_val" localSheetId="11" hidden="1">0</definedName>
    <definedName name="solver_val" localSheetId="7" hidden="1">0</definedName>
    <definedName name="solver_val" localSheetId="5" hidden="1">0</definedName>
    <definedName name="solver_val" localSheetId="13" hidden="1">0</definedName>
    <definedName name="solver_val" localSheetId="8" hidden="1">0</definedName>
    <definedName name="solver_val" localSheetId="9" hidden="1">0</definedName>
    <definedName name="solver_val" localSheetId="2" hidden="1">0</definedName>
    <definedName name="solver_ver" localSheetId="10" hidden="1">3</definedName>
    <definedName name="solver_ver" localSheetId="3" hidden="1">3</definedName>
    <definedName name="solver_ver" localSheetId="6" hidden="1">3</definedName>
    <definedName name="solver_ver" localSheetId="4" hidden="1">3</definedName>
    <definedName name="solver_ver" localSheetId="12" hidden="1">3</definedName>
    <definedName name="solver_ver" localSheetId="11" hidden="1">3</definedName>
    <definedName name="solver_ver" localSheetId="7" hidden="1">3</definedName>
    <definedName name="solver_ver" localSheetId="5" hidden="1">3</definedName>
    <definedName name="solver_ver" localSheetId="13" hidden="1">3</definedName>
    <definedName name="solver_ver" localSheetId="8" hidden="1">3</definedName>
    <definedName name="solver_ver" localSheetId="9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T105" i="24" l="1"/>
  <c r="T104" i="24"/>
  <c r="T103" i="24"/>
  <c r="T102" i="24"/>
  <c r="T101" i="24"/>
  <c r="T100" i="24"/>
  <c r="T99" i="24"/>
  <c r="T98" i="24"/>
  <c r="T97" i="24"/>
  <c r="T96" i="24"/>
  <c r="T95" i="24"/>
  <c r="T94" i="24"/>
  <c r="T93" i="24"/>
  <c r="T92" i="24"/>
  <c r="T91" i="24"/>
  <c r="T90" i="24"/>
  <c r="T89" i="24"/>
  <c r="T88" i="24"/>
  <c r="T87" i="24"/>
  <c r="T86" i="24"/>
  <c r="T85" i="24"/>
  <c r="T84" i="24"/>
  <c r="T83" i="24"/>
  <c r="T82" i="24"/>
  <c r="T81" i="24"/>
  <c r="T80" i="24"/>
  <c r="T79" i="24"/>
  <c r="T78" i="24"/>
  <c r="T77" i="24"/>
  <c r="T76" i="24"/>
  <c r="T75" i="24"/>
  <c r="T74" i="24"/>
  <c r="T73" i="24"/>
  <c r="T72" i="24"/>
  <c r="T71" i="24"/>
  <c r="T70" i="24"/>
  <c r="T69" i="24"/>
  <c r="T68" i="24"/>
  <c r="T67" i="24"/>
  <c r="T66" i="24"/>
  <c r="T65" i="24"/>
  <c r="T64" i="24"/>
  <c r="T63" i="24"/>
  <c r="T62" i="24"/>
  <c r="T61" i="24"/>
  <c r="T60" i="24"/>
  <c r="T59" i="24"/>
  <c r="T58" i="24"/>
  <c r="T57" i="24"/>
  <c r="T56" i="24"/>
  <c r="T55" i="24"/>
  <c r="T54" i="24"/>
  <c r="T53" i="24"/>
  <c r="T52" i="24"/>
  <c r="T51" i="24"/>
  <c r="T50" i="24"/>
  <c r="T49" i="24"/>
  <c r="T48" i="24"/>
  <c r="T47" i="24"/>
  <c r="T46" i="24"/>
  <c r="T45" i="24"/>
  <c r="T44" i="24"/>
  <c r="T43" i="24"/>
  <c r="T42" i="24"/>
  <c r="T41" i="24"/>
  <c r="T40" i="24"/>
  <c r="T39" i="24"/>
  <c r="T38" i="24"/>
  <c r="T37" i="24"/>
  <c r="T36" i="24"/>
  <c r="T35" i="24"/>
  <c r="T34" i="24"/>
  <c r="T33" i="24"/>
  <c r="T32" i="24"/>
  <c r="T31" i="24"/>
  <c r="T30" i="24"/>
  <c r="T29" i="24"/>
  <c r="T28" i="24"/>
  <c r="T27" i="24"/>
  <c r="T26" i="24"/>
  <c r="T25" i="24"/>
  <c r="T24" i="24"/>
  <c r="T23" i="24"/>
  <c r="T22" i="24"/>
  <c r="T21" i="24"/>
  <c r="T20" i="24"/>
  <c r="T19" i="24"/>
  <c r="T18" i="24"/>
  <c r="T17" i="24"/>
  <c r="T16" i="24"/>
  <c r="T15" i="24"/>
  <c r="T14" i="24"/>
  <c r="T13" i="24"/>
  <c r="T12" i="24"/>
  <c r="T11" i="24"/>
  <c r="T10" i="24"/>
  <c r="T9" i="24"/>
  <c r="T8" i="24"/>
  <c r="T7" i="24"/>
  <c r="T6" i="24"/>
  <c r="T5" i="24"/>
  <c r="T4" i="24"/>
  <c r="P12" i="24"/>
  <c r="P11" i="24"/>
  <c r="P10" i="24"/>
  <c r="P9" i="24"/>
  <c r="P8" i="24"/>
  <c r="P7" i="24"/>
  <c r="P6" i="24"/>
  <c r="P5" i="24"/>
  <c r="P4" i="24"/>
  <c r="P3" i="24"/>
  <c r="P2" i="24"/>
  <c r="B16" i="24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P12" i="19" l="1"/>
  <c r="P11" i="19"/>
  <c r="P10" i="19"/>
  <c r="P9" i="19"/>
  <c r="P8" i="19"/>
  <c r="P7" i="19"/>
  <c r="P6" i="19"/>
  <c r="P5" i="19"/>
  <c r="P4" i="19"/>
  <c r="P3" i="19"/>
  <c r="P2" i="19"/>
  <c r="P12" i="18"/>
  <c r="P11" i="18"/>
  <c r="P10" i="18"/>
  <c r="P9" i="18"/>
  <c r="P8" i="18"/>
  <c r="P7" i="18"/>
  <c r="P6" i="18"/>
  <c r="P5" i="18"/>
  <c r="P4" i="18"/>
  <c r="P3" i="18"/>
  <c r="P2" i="18"/>
  <c r="P12" i="16"/>
  <c r="P11" i="16"/>
  <c r="P10" i="16"/>
  <c r="P9" i="16"/>
  <c r="P8" i="16"/>
  <c r="P7" i="16"/>
  <c r="P6" i="16"/>
  <c r="P5" i="16"/>
  <c r="P4" i="16"/>
  <c r="P3" i="16"/>
  <c r="P2" i="16"/>
  <c r="P26" i="1" l="1"/>
  <c r="F26" i="1" l="1"/>
  <c r="A11" i="16"/>
  <c r="A10" i="16"/>
  <c r="A9" i="16"/>
  <c r="A8" i="16"/>
  <c r="A7" i="16"/>
  <c r="A6" i="16"/>
  <c r="A5" i="16"/>
  <c r="A4" i="16"/>
  <c r="A3" i="16"/>
  <c r="B16" i="17"/>
  <c r="P9" i="17" l="1"/>
  <c r="P5" i="17"/>
  <c r="P7" i="17"/>
  <c r="P10" i="17"/>
  <c r="P2" i="17"/>
  <c r="P12" i="17"/>
  <c r="P8" i="17"/>
  <c r="P4" i="17"/>
  <c r="P11" i="17"/>
  <c r="P3" i="17"/>
  <c r="P6" i="1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X51" i="1"/>
  <c r="W51" i="1"/>
  <c r="V51" i="1"/>
  <c r="U51" i="1"/>
  <c r="S51" i="1"/>
  <c r="Q51" i="1"/>
  <c r="P51" i="1"/>
  <c r="O51" i="1"/>
  <c r="M51" i="1"/>
  <c r="L51" i="1"/>
  <c r="K51" i="1"/>
  <c r="J51" i="1"/>
  <c r="I51" i="1"/>
  <c r="H51" i="1"/>
  <c r="G51" i="1"/>
  <c r="F51" i="1"/>
  <c r="E51" i="1"/>
  <c r="D51" i="1"/>
  <c r="C51" i="1"/>
  <c r="B51" i="1"/>
  <c r="A22" i="27" l="1"/>
  <c r="A21" i="27"/>
  <c r="A20" i="27"/>
  <c r="A19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3" i="27"/>
  <c r="A12" i="27"/>
  <c r="A11" i="27"/>
  <c r="A10" i="27"/>
  <c r="A9" i="27"/>
  <c r="A8" i="27"/>
  <c r="A7" i="27"/>
  <c r="A6" i="27"/>
  <c r="A5" i="27"/>
  <c r="A4" i="27"/>
  <c r="A3" i="27"/>
  <c r="A2" i="27"/>
  <c r="D13" i="25"/>
  <c r="N13" i="27" s="1"/>
  <c r="D12" i="25"/>
  <c r="B12" i="27" s="1"/>
  <c r="D11" i="25"/>
  <c r="V11" i="27" s="1"/>
  <c r="D10" i="25"/>
  <c r="D9" i="25"/>
  <c r="B9" i="27" s="1"/>
  <c r="D8" i="25"/>
  <c r="D8" i="27" s="1"/>
  <c r="D7" i="25"/>
  <c r="D6" i="25"/>
  <c r="D5" i="25"/>
  <c r="D4" i="25"/>
  <c r="K4" i="27" s="1"/>
  <c r="D3" i="25"/>
  <c r="F3" i="27" s="1"/>
  <c r="D2" i="25"/>
  <c r="A11" i="24"/>
  <c r="A10" i="24"/>
  <c r="A9" i="24"/>
  <c r="A8" i="24"/>
  <c r="A7" i="24"/>
  <c r="A6" i="24"/>
  <c r="A5" i="24"/>
  <c r="A4" i="24"/>
  <c r="A3" i="24"/>
  <c r="A11" i="19"/>
  <c r="A10" i="19"/>
  <c r="A9" i="19"/>
  <c r="A8" i="19"/>
  <c r="A7" i="19"/>
  <c r="A6" i="19"/>
  <c r="A5" i="19"/>
  <c r="A4" i="19"/>
  <c r="A3" i="19"/>
  <c r="A11" i="18"/>
  <c r="A10" i="18"/>
  <c r="A9" i="18"/>
  <c r="A8" i="18"/>
  <c r="A7" i="18"/>
  <c r="A6" i="18"/>
  <c r="A5" i="18"/>
  <c r="A4" i="18"/>
  <c r="A3" i="18"/>
  <c r="B16" i="14"/>
  <c r="B16" i="15"/>
  <c r="B16" i="16"/>
  <c r="S4" i="16"/>
  <c r="T4" i="16" s="1"/>
  <c r="S4" i="15"/>
  <c r="T4" i="15" s="1"/>
  <c r="P11" i="15" l="1"/>
  <c r="Q11" i="15" s="1"/>
  <c r="P7" i="15"/>
  <c r="Q7" i="15" s="1"/>
  <c r="P3" i="15"/>
  <c r="Q3" i="15" s="1"/>
  <c r="P10" i="15"/>
  <c r="Q10" i="15" s="1"/>
  <c r="P9" i="15"/>
  <c r="P12" i="15"/>
  <c r="Q12" i="15" s="1"/>
  <c r="P8" i="15"/>
  <c r="Q8" i="15" s="1"/>
  <c r="P4" i="15"/>
  <c r="Q4" i="15" s="1"/>
  <c r="P6" i="15"/>
  <c r="Q6" i="15" s="1"/>
  <c r="P2" i="15"/>
  <c r="Q2" i="15" s="1"/>
  <c r="P5" i="15"/>
  <c r="Q5" i="15" s="1"/>
  <c r="P10" i="14"/>
  <c r="P6" i="14"/>
  <c r="P2" i="14"/>
  <c r="P8" i="14"/>
  <c r="P11" i="14"/>
  <c r="P9" i="14"/>
  <c r="P5" i="14"/>
  <c r="P12" i="14"/>
  <c r="P4" i="14"/>
  <c r="P7" i="14"/>
  <c r="P3" i="14"/>
  <c r="J11" i="27"/>
  <c r="R11" i="27"/>
  <c r="J13" i="27"/>
  <c r="I8" i="27"/>
  <c r="Q8" i="27"/>
  <c r="Y8" i="27"/>
  <c r="N11" i="27"/>
  <c r="F12" i="27"/>
  <c r="N12" i="27"/>
  <c r="V12" i="27"/>
  <c r="D13" i="27"/>
  <c r="G8" i="27"/>
  <c r="O8" i="27"/>
  <c r="W8" i="27"/>
  <c r="D12" i="27"/>
  <c r="L12" i="27"/>
  <c r="T12" i="27"/>
  <c r="C12" i="27"/>
  <c r="K8" i="27"/>
  <c r="S8" i="27"/>
  <c r="P9" i="27"/>
  <c r="H12" i="27"/>
  <c r="P12" i="27"/>
  <c r="X12" i="27"/>
  <c r="E8" i="27"/>
  <c r="M8" i="27"/>
  <c r="U8" i="27"/>
  <c r="F11" i="27"/>
  <c r="J12" i="27"/>
  <c r="R12" i="27"/>
  <c r="C8" i="27"/>
  <c r="R13" i="27"/>
  <c r="T9" i="27"/>
  <c r="H9" i="27"/>
  <c r="X9" i="27"/>
  <c r="L9" i="27"/>
  <c r="Q4" i="27"/>
  <c r="W4" i="27"/>
  <c r="C4" i="27"/>
  <c r="G4" i="27"/>
  <c r="X3" i="27"/>
  <c r="P3" i="27"/>
  <c r="J3" i="27"/>
  <c r="I4" i="27"/>
  <c r="Y4" i="27"/>
  <c r="D4" i="27"/>
  <c r="S4" i="27"/>
  <c r="E4" i="27"/>
  <c r="M4" i="27"/>
  <c r="U4" i="27"/>
  <c r="O4" i="27"/>
  <c r="P5" i="27"/>
  <c r="B5" i="27"/>
  <c r="Q3" i="17"/>
  <c r="T5" i="27"/>
  <c r="V5" i="27"/>
  <c r="X5" i="27"/>
  <c r="D2" i="27"/>
  <c r="W2" i="27"/>
  <c r="S2" i="27"/>
  <c r="O2" i="27"/>
  <c r="K2" i="27"/>
  <c r="G2" i="27"/>
  <c r="C2" i="27"/>
  <c r="B2" i="27"/>
  <c r="Y2" i="27"/>
  <c r="U2" i="27"/>
  <c r="D6" i="27"/>
  <c r="X6" i="27"/>
  <c r="T6" i="27"/>
  <c r="P6" i="27"/>
  <c r="L6" i="27"/>
  <c r="V6" i="27"/>
  <c r="R6" i="27"/>
  <c r="J6" i="27"/>
  <c r="F6" i="27"/>
  <c r="D10" i="27"/>
  <c r="X10" i="27"/>
  <c r="T10" i="27"/>
  <c r="P10" i="27"/>
  <c r="L10" i="27"/>
  <c r="H10" i="27"/>
  <c r="C10" i="27"/>
  <c r="B10" i="27"/>
  <c r="V10" i="27"/>
  <c r="R10" i="27"/>
  <c r="N10" i="27"/>
  <c r="J10" i="27"/>
  <c r="F10" i="27"/>
  <c r="E2" i="27"/>
  <c r="J2" i="27"/>
  <c r="P2" i="27"/>
  <c r="V2" i="27"/>
  <c r="W6" i="27"/>
  <c r="K10" i="27"/>
  <c r="S10" i="27"/>
  <c r="C3" i="27"/>
  <c r="W3" i="27"/>
  <c r="S3" i="27"/>
  <c r="O3" i="27"/>
  <c r="K3" i="27"/>
  <c r="G3" i="27"/>
  <c r="B3" i="27"/>
  <c r="V3" i="27"/>
  <c r="R3" i="27"/>
  <c r="N3" i="27"/>
  <c r="Y3" i="27"/>
  <c r="U3" i="27"/>
  <c r="Q3" i="27"/>
  <c r="M3" i="27"/>
  <c r="I3" i="27"/>
  <c r="E3" i="27"/>
  <c r="Y7" i="27"/>
  <c r="D11" i="27"/>
  <c r="C11" i="27"/>
  <c r="W11" i="27"/>
  <c r="S11" i="27"/>
  <c r="O11" i="27"/>
  <c r="K11" i="27"/>
  <c r="G11" i="27"/>
  <c r="B11" i="27"/>
  <c r="Y11" i="27"/>
  <c r="U11" i="27"/>
  <c r="Q11" i="27"/>
  <c r="M11" i="27"/>
  <c r="I11" i="27"/>
  <c r="E11" i="27"/>
  <c r="F2" i="27"/>
  <c r="L2" i="27"/>
  <c r="Q2" i="27"/>
  <c r="X2" i="27"/>
  <c r="F5" i="27"/>
  <c r="N5" i="27"/>
  <c r="Q6" i="27"/>
  <c r="Y6" i="27"/>
  <c r="J9" i="27"/>
  <c r="R9" i="27"/>
  <c r="E10" i="27"/>
  <c r="M10" i="27"/>
  <c r="U10" i="27"/>
  <c r="H11" i="27"/>
  <c r="P11" i="27"/>
  <c r="X11" i="27"/>
  <c r="D3" i="27"/>
  <c r="L3" i="27"/>
  <c r="H2" i="27"/>
  <c r="M2" i="27"/>
  <c r="R2" i="27"/>
  <c r="K6" i="27"/>
  <c r="G10" i="27"/>
  <c r="O10" i="27"/>
  <c r="W10" i="27"/>
  <c r="D5" i="27"/>
  <c r="Y5" i="27"/>
  <c r="U5" i="27"/>
  <c r="Q5" i="27"/>
  <c r="M5" i="27"/>
  <c r="I5" i="27"/>
  <c r="E5" i="27"/>
  <c r="C5" i="27"/>
  <c r="W5" i="27"/>
  <c r="O5" i="27"/>
  <c r="K5" i="27"/>
  <c r="Y9" i="27"/>
  <c r="U9" i="27"/>
  <c r="Q9" i="27"/>
  <c r="M9" i="27"/>
  <c r="I9" i="27"/>
  <c r="E9" i="27"/>
  <c r="C9" i="27"/>
  <c r="W9" i="27"/>
  <c r="S9" i="27"/>
  <c r="O9" i="27"/>
  <c r="K9" i="27"/>
  <c r="G9" i="27"/>
  <c r="Y13" i="27"/>
  <c r="U13" i="27"/>
  <c r="Q13" i="27"/>
  <c r="M13" i="27"/>
  <c r="I13" i="27"/>
  <c r="E13" i="27"/>
  <c r="X13" i="27"/>
  <c r="T13" i="27"/>
  <c r="P13" i="27"/>
  <c r="L13" i="27"/>
  <c r="H13" i="27"/>
  <c r="C13" i="27"/>
  <c r="W13" i="27"/>
  <c r="S13" i="27"/>
  <c r="O13" i="27"/>
  <c r="K13" i="27"/>
  <c r="G13" i="27"/>
  <c r="B13" i="27"/>
  <c r="I2" i="27"/>
  <c r="N2" i="27"/>
  <c r="T2" i="27"/>
  <c r="J5" i="27"/>
  <c r="R5" i="27"/>
  <c r="E6" i="27"/>
  <c r="U6" i="27"/>
  <c r="F9" i="27"/>
  <c r="N9" i="27"/>
  <c r="V9" i="27"/>
  <c r="I10" i="27"/>
  <c r="Q10" i="27"/>
  <c r="Y10" i="27"/>
  <c r="L11" i="27"/>
  <c r="T11" i="27"/>
  <c r="H3" i="27"/>
  <c r="T3" i="27"/>
  <c r="F13" i="27"/>
  <c r="V13" i="27"/>
  <c r="H4" i="27"/>
  <c r="L4" i="27"/>
  <c r="P4" i="27"/>
  <c r="T4" i="27"/>
  <c r="X4" i="27"/>
  <c r="H8" i="27"/>
  <c r="L8" i="27"/>
  <c r="P8" i="27"/>
  <c r="T8" i="27"/>
  <c r="X8" i="27"/>
  <c r="G12" i="27"/>
  <c r="K12" i="27"/>
  <c r="O12" i="27"/>
  <c r="S12" i="27"/>
  <c r="W12" i="27"/>
  <c r="F4" i="27"/>
  <c r="J4" i="27"/>
  <c r="N4" i="27"/>
  <c r="R4" i="27"/>
  <c r="V4" i="27"/>
  <c r="F8" i="27"/>
  <c r="J8" i="27"/>
  <c r="N8" i="27"/>
  <c r="R8" i="27"/>
  <c r="V8" i="27"/>
  <c r="E12" i="27"/>
  <c r="I12" i="27"/>
  <c r="M12" i="27"/>
  <c r="Q12" i="27"/>
  <c r="U12" i="27"/>
  <c r="Y12" i="27"/>
  <c r="B4" i="27"/>
  <c r="B8" i="27"/>
  <c r="S4" i="24"/>
  <c r="B16" i="19"/>
  <c r="S4" i="19"/>
  <c r="S4" i="18"/>
  <c r="T4" i="18" s="1"/>
  <c r="B16" i="18"/>
  <c r="C6" i="27" s="1"/>
  <c r="Q4" i="17"/>
  <c r="Q12" i="17"/>
  <c r="S4" i="17"/>
  <c r="S5" i="17" s="1"/>
  <c r="S6" i="17" s="1"/>
  <c r="S7" i="17" s="1"/>
  <c r="S8" i="17" s="1"/>
  <c r="S9" i="17" s="1"/>
  <c r="S10" i="17" s="1"/>
  <c r="S11" i="17" s="1"/>
  <c r="S12" i="17" s="1"/>
  <c r="S13" i="17" s="1"/>
  <c r="S14" i="17" s="1"/>
  <c r="Q9" i="15"/>
  <c r="Q8" i="16"/>
  <c r="Q3" i="16"/>
  <c r="Q4" i="16"/>
  <c r="Q12" i="16"/>
  <c r="Q11" i="16"/>
  <c r="Q7" i="16"/>
  <c r="Q5" i="16"/>
  <c r="Q9" i="16"/>
  <c r="Q2" i="16"/>
  <c r="Q6" i="16"/>
  <c r="Q10" i="16"/>
  <c r="S5" i="16"/>
  <c r="T5" i="16" s="1"/>
  <c r="S5" i="15"/>
  <c r="T5" i="15" s="1"/>
  <c r="I6" i="27" l="1"/>
  <c r="I15" i="27" s="1"/>
  <c r="H6" i="27"/>
  <c r="S5" i="18"/>
  <c r="T5" i="18" s="1"/>
  <c r="S6" i="27"/>
  <c r="O6" i="27"/>
  <c r="O15" i="27" s="1"/>
  <c r="B6" i="27"/>
  <c r="B15" i="27" s="1"/>
  <c r="M6" i="27"/>
  <c r="M15" i="27" s="1"/>
  <c r="G6" i="27"/>
  <c r="N6" i="27"/>
  <c r="N15" i="27" s="1"/>
  <c r="Q15" i="27"/>
  <c r="E15" i="27"/>
  <c r="U15" i="27"/>
  <c r="R15" i="27"/>
  <c r="J15" i="27"/>
  <c r="Q7" i="17"/>
  <c r="Q8" i="17"/>
  <c r="Q6" i="17"/>
  <c r="T14" i="17"/>
  <c r="T9" i="17"/>
  <c r="S15" i="17"/>
  <c r="T15" i="17" s="1"/>
  <c r="T11" i="17"/>
  <c r="T12" i="17"/>
  <c r="T5" i="17"/>
  <c r="T6" i="17"/>
  <c r="T7" i="17"/>
  <c r="T10" i="17"/>
  <c r="T4" i="17"/>
  <c r="W15" i="27"/>
  <c r="Y15" i="27"/>
  <c r="V15" i="27"/>
  <c r="Q11" i="17"/>
  <c r="T13" i="17"/>
  <c r="T8" i="17"/>
  <c r="Q5" i="17"/>
  <c r="Q9" i="17"/>
  <c r="Q10" i="17"/>
  <c r="S5" i="27"/>
  <c r="H5" i="27"/>
  <c r="Q2" i="17"/>
  <c r="G5" i="27"/>
  <c r="K15" i="27"/>
  <c r="L5" i="27"/>
  <c r="L15" i="27" s="1"/>
  <c r="F15" i="27"/>
  <c r="X15" i="27"/>
  <c r="T15" i="27"/>
  <c r="P15" i="27"/>
  <c r="C15" i="27"/>
  <c r="Q2" i="24"/>
  <c r="Q12" i="24"/>
  <c r="Q8" i="24"/>
  <c r="Q3" i="24"/>
  <c r="Q4" i="24"/>
  <c r="Q9" i="24"/>
  <c r="Q11" i="24"/>
  <c r="S5" i="24"/>
  <c r="Q7" i="24"/>
  <c r="Q10" i="24"/>
  <c r="Q6" i="24"/>
  <c r="Q5" i="24"/>
  <c r="Q2" i="19"/>
  <c r="Q12" i="19"/>
  <c r="Q8" i="19"/>
  <c r="Q4" i="19"/>
  <c r="Q10" i="19"/>
  <c r="Q3" i="19"/>
  <c r="S5" i="19"/>
  <c r="T4" i="19"/>
  <c r="Q6" i="19"/>
  <c r="Q7" i="19"/>
  <c r="Q9" i="19"/>
  <c r="Q11" i="19"/>
  <c r="Q5" i="19"/>
  <c r="Q10" i="18"/>
  <c r="Q6" i="18"/>
  <c r="Q12" i="18"/>
  <c r="Q2" i="18"/>
  <c r="Q3" i="18"/>
  <c r="Q11" i="18"/>
  <c r="Q8" i="18"/>
  <c r="S6" i="18"/>
  <c r="Q5" i="18"/>
  <c r="Q9" i="18"/>
  <c r="Q7" i="18"/>
  <c r="Q4" i="18"/>
  <c r="Q14" i="16"/>
  <c r="S6" i="16"/>
  <c r="T6" i="16" s="1"/>
  <c r="Q14" i="15"/>
  <c r="S6" i="15"/>
  <c r="T6" i="15" s="1"/>
  <c r="H15" i="27" l="1"/>
  <c r="G15" i="27"/>
  <c r="S15" i="27"/>
  <c r="S16" i="17"/>
  <c r="S17" i="17" s="1"/>
  <c r="Q14" i="17"/>
  <c r="S6" i="24"/>
  <c r="Q14" i="24"/>
  <c r="S6" i="19"/>
  <c r="T5" i="19"/>
  <c r="Q14" i="19"/>
  <c r="S7" i="18"/>
  <c r="T6" i="18"/>
  <c r="Q14" i="18"/>
  <c r="S7" i="16"/>
  <c r="T7" i="16" s="1"/>
  <c r="S7" i="15"/>
  <c r="T7" i="15" s="1"/>
  <c r="T16" i="17" l="1"/>
  <c r="S7" i="24"/>
  <c r="T6" i="19"/>
  <c r="S7" i="19"/>
  <c r="T7" i="18"/>
  <c r="S8" i="18"/>
  <c r="S18" i="17"/>
  <c r="T17" i="17"/>
  <c r="S8" i="16"/>
  <c r="T8" i="16" s="1"/>
  <c r="S8" i="15"/>
  <c r="T8" i="15" s="1"/>
  <c r="S8" i="24" l="1"/>
  <c r="S8" i="19"/>
  <c r="T7" i="19"/>
  <c r="T8" i="18"/>
  <c r="S9" i="18"/>
  <c r="S19" i="17"/>
  <c r="T18" i="17"/>
  <c r="S9" i="16"/>
  <c r="T9" i="16" s="1"/>
  <c r="S9" i="15"/>
  <c r="T9" i="15" s="1"/>
  <c r="S9" i="24" l="1"/>
  <c r="S9" i="19"/>
  <c r="T8" i="19"/>
  <c r="S10" i="18"/>
  <c r="T9" i="18"/>
  <c r="S20" i="17"/>
  <c r="T19" i="17"/>
  <c r="S10" i="16"/>
  <c r="T10" i="16" s="1"/>
  <c r="S10" i="15"/>
  <c r="T10" i="15" s="1"/>
  <c r="S10" i="24" l="1"/>
  <c r="T9" i="19"/>
  <c r="S10" i="19"/>
  <c r="S11" i="18"/>
  <c r="T10" i="18"/>
  <c r="S21" i="17"/>
  <c r="T20" i="17"/>
  <c r="S11" i="16"/>
  <c r="T11" i="16" s="1"/>
  <c r="S11" i="15"/>
  <c r="T11" i="15" s="1"/>
  <c r="S11" i="24" l="1"/>
  <c r="S11" i="19"/>
  <c r="T10" i="19"/>
  <c r="S12" i="18"/>
  <c r="T11" i="18"/>
  <c r="T21" i="17"/>
  <c r="S22" i="17"/>
  <c r="S12" i="16"/>
  <c r="T12" i="16" s="1"/>
  <c r="S12" i="15"/>
  <c r="T12" i="15" s="1"/>
  <c r="S12" i="24" l="1"/>
  <c r="T11" i="19"/>
  <c r="S12" i="19"/>
  <c r="S13" i="18"/>
  <c r="T12" i="18"/>
  <c r="S23" i="17"/>
  <c r="T22" i="17"/>
  <c r="S13" i="16"/>
  <c r="T13" i="16" s="1"/>
  <c r="S13" i="15"/>
  <c r="T13" i="15" s="1"/>
  <c r="S13" i="24" l="1"/>
  <c r="T12" i="19"/>
  <c r="S13" i="19"/>
  <c r="T13" i="18"/>
  <c r="S14" i="18"/>
  <c r="S24" i="17"/>
  <c r="T23" i="17"/>
  <c r="S14" i="16"/>
  <c r="T14" i="16" s="1"/>
  <c r="S14" i="15"/>
  <c r="T14" i="15" s="1"/>
  <c r="S14" i="24" l="1"/>
  <c r="S14" i="19"/>
  <c r="T13" i="19"/>
  <c r="S15" i="18"/>
  <c r="T14" i="18"/>
  <c r="S25" i="17"/>
  <c r="T24" i="17"/>
  <c r="S15" i="16"/>
  <c r="T15" i="16" s="1"/>
  <c r="S15" i="15"/>
  <c r="T15" i="15" s="1"/>
  <c r="S15" i="24" l="1"/>
  <c r="T14" i="19"/>
  <c r="S15" i="19"/>
  <c r="T15" i="18"/>
  <c r="S16" i="18"/>
  <c r="S26" i="17"/>
  <c r="T25" i="17"/>
  <c r="S16" i="16"/>
  <c r="T16" i="16" s="1"/>
  <c r="S16" i="15"/>
  <c r="T16" i="15" s="1"/>
  <c r="S16" i="24" l="1"/>
  <c r="S16" i="19"/>
  <c r="T15" i="19"/>
  <c r="S17" i="18"/>
  <c r="T16" i="18"/>
  <c r="S27" i="17"/>
  <c r="T26" i="17"/>
  <c r="S17" i="16"/>
  <c r="T17" i="16" s="1"/>
  <c r="S17" i="15"/>
  <c r="T17" i="15" s="1"/>
  <c r="S17" i="24" l="1"/>
  <c r="S17" i="19"/>
  <c r="T16" i="19"/>
  <c r="T17" i="18"/>
  <c r="S18" i="18"/>
  <c r="S28" i="17"/>
  <c r="T27" i="17"/>
  <c r="S18" i="16"/>
  <c r="T18" i="16" s="1"/>
  <c r="S18" i="15"/>
  <c r="T18" i="15" s="1"/>
  <c r="S18" i="24" l="1"/>
  <c r="T17" i="19"/>
  <c r="S18" i="19"/>
  <c r="S19" i="18"/>
  <c r="T18" i="18"/>
  <c r="S29" i="17"/>
  <c r="T28" i="17"/>
  <c r="S19" i="16"/>
  <c r="T19" i="16" s="1"/>
  <c r="S19" i="15"/>
  <c r="T19" i="15" s="1"/>
  <c r="S19" i="24" l="1"/>
  <c r="S19" i="19"/>
  <c r="T18" i="19"/>
  <c r="S20" i="18"/>
  <c r="T19" i="18"/>
  <c r="T29" i="17"/>
  <c r="S30" i="17"/>
  <c r="S20" i="16"/>
  <c r="T20" i="16" s="1"/>
  <c r="S20" i="15"/>
  <c r="T20" i="15" s="1"/>
  <c r="S20" i="24" l="1"/>
  <c r="T19" i="19"/>
  <c r="S20" i="19"/>
  <c r="S21" i="18"/>
  <c r="T20" i="18"/>
  <c r="S31" i="17"/>
  <c r="T30" i="17"/>
  <c r="S21" i="16"/>
  <c r="T21" i="16" s="1"/>
  <c r="S21" i="15"/>
  <c r="T21" i="15" s="1"/>
  <c r="S21" i="24" l="1"/>
  <c r="S21" i="19"/>
  <c r="T20" i="19"/>
  <c r="S22" i="18"/>
  <c r="T21" i="18"/>
  <c r="S32" i="17"/>
  <c r="T31" i="17"/>
  <c r="S22" i="16"/>
  <c r="T22" i="16" s="1"/>
  <c r="S22" i="15"/>
  <c r="T22" i="15" s="1"/>
  <c r="S22" i="24" l="1"/>
  <c r="T21" i="19"/>
  <c r="S22" i="19"/>
  <c r="S23" i="18"/>
  <c r="T22" i="18"/>
  <c r="S33" i="17"/>
  <c r="T32" i="17"/>
  <c r="S23" i="16"/>
  <c r="T23" i="16" s="1"/>
  <c r="S23" i="15"/>
  <c r="T23" i="15" s="1"/>
  <c r="S23" i="24" l="1"/>
  <c r="S23" i="19"/>
  <c r="T22" i="19"/>
  <c r="S24" i="18"/>
  <c r="T23" i="18"/>
  <c r="S34" i="17"/>
  <c r="T33" i="17"/>
  <c r="S24" i="16"/>
  <c r="T24" i="16" s="1"/>
  <c r="S24" i="15"/>
  <c r="T24" i="15" s="1"/>
  <c r="S24" i="24" l="1"/>
  <c r="T23" i="19"/>
  <c r="S24" i="19"/>
  <c r="S25" i="18"/>
  <c r="T24" i="18"/>
  <c r="S35" i="17"/>
  <c r="T34" i="17"/>
  <c r="S25" i="16"/>
  <c r="T25" i="16" s="1"/>
  <c r="S25" i="15"/>
  <c r="T25" i="15" s="1"/>
  <c r="S25" i="24" l="1"/>
  <c r="S25" i="19"/>
  <c r="T24" i="19"/>
  <c r="T25" i="18"/>
  <c r="S26" i="18"/>
  <c r="S36" i="17"/>
  <c r="T35" i="17"/>
  <c r="S26" i="16"/>
  <c r="T26" i="16" s="1"/>
  <c r="S26" i="15"/>
  <c r="T26" i="15" s="1"/>
  <c r="S26" i="24" l="1"/>
  <c r="T25" i="19"/>
  <c r="S26" i="19"/>
  <c r="S27" i="18"/>
  <c r="T26" i="18"/>
  <c r="S37" i="17"/>
  <c r="T36" i="17"/>
  <c r="S27" i="16"/>
  <c r="T27" i="16" s="1"/>
  <c r="S27" i="15"/>
  <c r="T27" i="15" s="1"/>
  <c r="S27" i="24" l="1"/>
  <c r="S27" i="19"/>
  <c r="T26" i="19"/>
  <c r="S28" i="18"/>
  <c r="T27" i="18"/>
  <c r="T37" i="17"/>
  <c r="S38" i="17"/>
  <c r="S28" i="16"/>
  <c r="T28" i="16" s="1"/>
  <c r="S28" i="15"/>
  <c r="T28" i="15" s="1"/>
  <c r="S28" i="24" l="1"/>
  <c r="T27" i="19"/>
  <c r="S28" i="19"/>
  <c r="S29" i="18"/>
  <c r="T28" i="18"/>
  <c r="S39" i="17"/>
  <c r="T38" i="17"/>
  <c r="S29" i="16"/>
  <c r="T29" i="16" s="1"/>
  <c r="S29" i="15"/>
  <c r="T29" i="15" s="1"/>
  <c r="S29" i="24" l="1"/>
  <c r="S29" i="19"/>
  <c r="T28" i="19"/>
  <c r="S30" i="18"/>
  <c r="T29" i="18"/>
  <c r="S40" i="17"/>
  <c r="T39" i="17"/>
  <c r="S30" i="16"/>
  <c r="T30" i="16" s="1"/>
  <c r="S30" i="15"/>
  <c r="T30" i="15" s="1"/>
  <c r="S30" i="24" l="1"/>
  <c r="T29" i="19"/>
  <c r="S30" i="19"/>
  <c r="S31" i="18"/>
  <c r="T30" i="18"/>
  <c r="S41" i="17"/>
  <c r="T40" i="17"/>
  <c r="S31" i="16"/>
  <c r="T31" i="16" s="1"/>
  <c r="S31" i="15"/>
  <c r="T31" i="15" s="1"/>
  <c r="S31" i="24" l="1"/>
  <c r="S31" i="19"/>
  <c r="T30" i="19"/>
  <c r="S32" i="18"/>
  <c r="T31" i="18"/>
  <c r="S42" i="17"/>
  <c r="T41" i="17"/>
  <c r="S32" i="16"/>
  <c r="T32" i="16" s="1"/>
  <c r="S32" i="15"/>
  <c r="T32" i="15" s="1"/>
  <c r="S32" i="24" l="1"/>
  <c r="T31" i="19"/>
  <c r="S32" i="19"/>
  <c r="S33" i="18"/>
  <c r="T32" i="18"/>
  <c r="S43" i="17"/>
  <c r="T42" i="17"/>
  <c r="S33" i="16"/>
  <c r="T33" i="16" s="1"/>
  <c r="S33" i="15"/>
  <c r="T33" i="15" s="1"/>
  <c r="S33" i="24" l="1"/>
  <c r="S33" i="19"/>
  <c r="T32" i="19"/>
  <c r="T33" i="18"/>
  <c r="S34" i="18"/>
  <c r="S44" i="17"/>
  <c r="T43" i="17"/>
  <c r="S34" i="16"/>
  <c r="T34" i="16" s="1"/>
  <c r="S34" i="15"/>
  <c r="T34" i="15" s="1"/>
  <c r="S34" i="24" l="1"/>
  <c r="T33" i="19"/>
  <c r="S34" i="19"/>
  <c r="S35" i="18"/>
  <c r="T34" i="18"/>
  <c r="S45" i="17"/>
  <c r="T44" i="17"/>
  <c r="S35" i="16"/>
  <c r="T35" i="16" s="1"/>
  <c r="S35" i="15"/>
  <c r="T35" i="15" s="1"/>
  <c r="S35" i="24" l="1"/>
  <c r="S35" i="19"/>
  <c r="T34" i="19"/>
  <c r="S36" i="18"/>
  <c r="T35" i="18"/>
  <c r="T45" i="17"/>
  <c r="S46" i="17"/>
  <c r="S36" i="16"/>
  <c r="T36" i="16" s="1"/>
  <c r="S36" i="15"/>
  <c r="T36" i="15" s="1"/>
  <c r="S36" i="24" l="1"/>
  <c r="T35" i="19"/>
  <c r="S36" i="19"/>
  <c r="S37" i="18"/>
  <c r="T36" i="18"/>
  <c r="S47" i="17"/>
  <c r="T46" i="17"/>
  <c r="S37" i="16"/>
  <c r="T37" i="16" s="1"/>
  <c r="S37" i="15"/>
  <c r="T37" i="15" s="1"/>
  <c r="S37" i="24" l="1"/>
  <c r="S37" i="19"/>
  <c r="T36" i="19"/>
  <c r="T37" i="18"/>
  <c r="S38" i="18"/>
  <c r="S48" i="17"/>
  <c r="T47" i="17"/>
  <c r="S38" i="16"/>
  <c r="T38" i="16" s="1"/>
  <c r="S38" i="15"/>
  <c r="T38" i="15" s="1"/>
  <c r="S38" i="24" l="1"/>
  <c r="T37" i="19"/>
  <c r="S38" i="19"/>
  <c r="S39" i="18"/>
  <c r="T38" i="18"/>
  <c r="S49" i="17"/>
  <c r="T48" i="17"/>
  <c r="S39" i="16"/>
  <c r="T39" i="16" s="1"/>
  <c r="S39" i="15"/>
  <c r="T39" i="15" s="1"/>
  <c r="S39" i="24" l="1"/>
  <c r="S39" i="19"/>
  <c r="T38" i="19"/>
  <c r="T39" i="18"/>
  <c r="S40" i="18"/>
  <c r="S50" i="17"/>
  <c r="T49" i="17"/>
  <c r="S40" i="16"/>
  <c r="T40" i="16" s="1"/>
  <c r="S40" i="15"/>
  <c r="T40" i="15" s="1"/>
  <c r="S40" i="24" l="1"/>
  <c r="T39" i="19"/>
  <c r="S40" i="19"/>
  <c r="S41" i="18"/>
  <c r="T40" i="18"/>
  <c r="S51" i="17"/>
  <c r="T50" i="17"/>
  <c r="S41" i="16"/>
  <c r="T41" i="16" s="1"/>
  <c r="S41" i="15"/>
  <c r="T41" i="15" s="1"/>
  <c r="S41" i="24" l="1"/>
  <c r="S41" i="19"/>
  <c r="T40" i="19"/>
  <c r="T41" i="18"/>
  <c r="S42" i="18"/>
  <c r="S52" i="17"/>
  <c r="T51" i="17"/>
  <c r="S42" i="16"/>
  <c r="T42" i="16" s="1"/>
  <c r="S42" i="15"/>
  <c r="T42" i="15" s="1"/>
  <c r="S42" i="24" l="1"/>
  <c r="T41" i="19"/>
  <c r="S42" i="19"/>
  <c r="S43" i="18"/>
  <c r="T42" i="18"/>
  <c r="S53" i="17"/>
  <c r="T52" i="17"/>
  <c r="S43" i="16"/>
  <c r="T43" i="16" s="1"/>
  <c r="S43" i="15"/>
  <c r="T43" i="15" s="1"/>
  <c r="S43" i="24" l="1"/>
  <c r="S43" i="19"/>
  <c r="T42" i="19"/>
  <c r="S44" i="18"/>
  <c r="T43" i="18"/>
  <c r="S54" i="17"/>
  <c r="T53" i="17"/>
  <c r="S44" i="16"/>
  <c r="T44" i="16" s="1"/>
  <c r="S44" i="15"/>
  <c r="T44" i="15" s="1"/>
  <c r="S44" i="24" l="1"/>
  <c r="T43" i="19"/>
  <c r="S44" i="19"/>
  <c r="S45" i="18"/>
  <c r="T44" i="18"/>
  <c r="S55" i="17"/>
  <c r="T54" i="17"/>
  <c r="S45" i="16"/>
  <c r="T45" i="16" s="1"/>
  <c r="S45" i="15"/>
  <c r="T45" i="15" s="1"/>
  <c r="S45" i="24" l="1"/>
  <c r="S45" i="19"/>
  <c r="T44" i="19"/>
  <c r="S46" i="18"/>
  <c r="T45" i="18"/>
  <c r="S56" i="17"/>
  <c r="T55" i="17"/>
  <c r="S46" i="16"/>
  <c r="T46" i="16" s="1"/>
  <c r="S46" i="15"/>
  <c r="T46" i="15" s="1"/>
  <c r="S46" i="24" l="1"/>
  <c r="T45" i="19"/>
  <c r="S46" i="19"/>
  <c r="S47" i="18"/>
  <c r="T46" i="18"/>
  <c r="S57" i="17"/>
  <c r="T56" i="17"/>
  <c r="S47" i="16"/>
  <c r="T47" i="16" s="1"/>
  <c r="S47" i="15"/>
  <c r="T47" i="15" s="1"/>
  <c r="S47" i="24" l="1"/>
  <c r="S47" i="19"/>
  <c r="T46" i="19"/>
  <c r="S48" i="18"/>
  <c r="T47" i="18"/>
  <c r="S58" i="17"/>
  <c r="T57" i="17"/>
  <c r="S48" i="16"/>
  <c r="T48" i="16" s="1"/>
  <c r="S48" i="15"/>
  <c r="T48" i="15" s="1"/>
  <c r="S48" i="24" l="1"/>
  <c r="T47" i="19"/>
  <c r="S48" i="19"/>
  <c r="S49" i="18"/>
  <c r="T48" i="18"/>
  <c r="S59" i="17"/>
  <c r="T58" i="17"/>
  <c r="S49" i="16"/>
  <c r="T49" i="16" s="1"/>
  <c r="S49" i="15"/>
  <c r="T49" i="15" s="1"/>
  <c r="S49" i="24" l="1"/>
  <c r="S49" i="19"/>
  <c r="T48" i="19"/>
  <c r="T49" i="18"/>
  <c r="S50" i="18"/>
  <c r="S60" i="17"/>
  <c r="T59" i="17"/>
  <c r="S50" i="16"/>
  <c r="T50" i="16" s="1"/>
  <c r="S50" i="15"/>
  <c r="T50" i="15" s="1"/>
  <c r="S50" i="24" l="1"/>
  <c r="T49" i="19"/>
  <c r="S50" i="19"/>
  <c r="S51" i="18"/>
  <c r="T50" i="18"/>
  <c r="S61" i="17"/>
  <c r="T60" i="17"/>
  <c r="S51" i="16"/>
  <c r="T51" i="16" s="1"/>
  <c r="S51" i="15"/>
  <c r="T51" i="15" s="1"/>
  <c r="S51" i="24" l="1"/>
  <c r="S51" i="19"/>
  <c r="T50" i="19"/>
  <c r="S52" i="18"/>
  <c r="T51" i="18"/>
  <c r="S62" i="17"/>
  <c r="T61" i="17"/>
  <c r="S52" i="16"/>
  <c r="T52" i="16" s="1"/>
  <c r="S52" i="15"/>
  <c r="T52" i="15" s="1"/>
  <c r="S52" i="24" l="1"/>
  <c r="T51" i="19"/>
  <c r="S52" i="19"/>
  <c r="S53" i="18"/>
  <c r="T52" i="18"/>
  <c r="S63" i="17"/>
  <c r="T62" i="17"/>
  <c r="S53" i="16"/>
  <c r="T53" i="16" s="1"/>
  <c r="S53" i="15"/>
  <c r="T53" i="15" s="1"/>
  <c r="S53" i="24" l="1"/>
  <c r="S53" i="19"/>
  <c r="T52" i="19"/>
  <c r="T53" i="18"/>
  <c r="S54" i="18"/>
  <c r="S64" i="17"/>
  <c r="T63" i="17"/>
  <c r="S54" i="16"/>
  <c r="T54" i="16" s="1"/>
  <c r="S54" i="15"/>
  <c r="T54" i="15" s="1"/>
  <c r="S54" i="24" l="1"/>
  <c r="T53" i="19"/>
  <c r="S54" i="19"/>
  <c r="S55" i="18"/>
  <c r="T54" i="18"/>
  <c r="S65" i="17"/>
  <c r="T64" i="17"/>
  <c r="S55" i="16"/>
  <c r="T55" i="16" s="1"/>
  <c r="S55" i="15"/>
  <c r="T55" i="15" s="1"/>
  <c r="S55" i="24" l="1"/>
  <c r="S55" i="19"/>
  <c r="T54" i="19"/>
  <c r="T55" i="18"/>
  <c r="S56" i="18"/>
  <c r="S66" i="17"/>
  <c r="T65" i="17"/>
  <c r="S56" i="16"/>
  <c r="T56" i="16" s="1"/>
  <c r="S56" i="15"/>
  <c r="T56" i="15" s="1"/>
  <c r="S56" i="24" l="1"/>
  <c r="T55" i="19"/>
  <c r="S56" i="19"/>
  <c r="S57" i="18"/>
  <c r="T56" i="18"/>
  <c r="S67" i="17"/>
  <c r="T66" i="17"/>
  <c r="S57" i="16"/>
  <c r="T57" i="16" s="1"/>
  <c r="S57" i="15"/>
  <c r="T57" i="15" s="1"/>
  <c r="S57" i="24" l="1"/>
  <c r="S57" i="19"/>
  <c r="T56" i="19"/>
  <c r="T57" i="18"/>
  <c r="S58" i="18"/>
  <c r="S68" i="17"/>
  <c r="T67" i="17"/>
  <c r="S58" i="16"/>
  <c r="T58" i="16" s="1"/>
  <c r="S58" i="15"/>
  <c r="T58" i="15" s="1"/>
  <c r="S58" i="24" l="1"/>
  <c r="T57" i="19"/>
  <c r="S58" i="19"/>
  <c r="S59" i="18"/>
  <c r="T58" i="18"/>
  <c r="S69" i="17"/>
  <c r="T68" i="17"/>
  <c r="S59" i="16"/>
  <c r="T59" i="16" s="1"/>
  <c r="S59" i="15"/>
  <c r="T59" i="15" s="1"/>
  <c r="S59" i="24" l="1"/>
  <c r="S59" i="19"/>
  <c r="T58" i="19"/>
  <c r="S60" i="18"/>
  <c r="T59" i="18"/>
  <c r="S70" i="17"/>
  <c r="T69" i="17"/>
  <c r="S60" i="16"/>
  <c r="T60" i="16" s="1"/>
  <c r="S60" i="15"/>
  <c r="T60" i="15" s="1"/>
  <c r="S60" i="24" l="1"/>
  <c r="T59" i="19"/>
  <c r="S60" i="19"/>
  <c r="S61" i="18"/>
  <c r="T60" i="18"/>
  <c r="S71" i="17"/>
  <c r="T70" i="17"/>
  <c r="S61" i="16"/>
  <c r="T61" i="16" s="1"/>
  <c r="S61" i="15"/>
  <c r="T61" i="15" s="1"/>
  <c r="S61" i="24" l="1"/>
  <c r="S61" i="19"/>
  <c r="T60" i="19"/>
  <c r="T61" i="18"/>
  <c r="S62" i="18"/>
  <c r="S72" i="17"/>
  <c r="T71" i="17"/>
  <c r="S62" i="16"/>
  <c r="T62" i="16" s="1"/>
  <c r="S62" i="15"/>
  <c r="T62" i="15" s="1"/>
  <c r="S62" i="24" l="1"/>
  <c r="T61" i="19"/>
  <c r="S62" i="19"/>
  <c r="S63" i="18"/>
  <c r="T62" i="18"/>
  <c r="S73" i="17"/>
  <c r="T72" i="17"/>
  <c r="S63" i="16"/>
  <c r="T63" i="16" s="1"/>
  <c r="S63" i="15"/>
  <c r="T63" i="15" s="1"/>
  <c r="S63" i="24" l="1"/>
  <c r="S63" i="19"/>
  <c r="T62" i="19"/>
  <c r="T63" i="18"/>
  <c r="S64" i="18"/>
  <c r="S74" i="17"/>
  <c r="T73" i="17"/>
  <c r="S64" i="16"/>
  <c r="T64" i="16" s="1"/>
  <c r="S64" i="15"/>
  <c r="T64" i="15" s="1"/>
  <c r="S64" i="24" l="1"/>
  <c r="T63" i="19"/>
  <c r="S64" i="19"/>
  <c r="S65" i="18"/>
  <c r="T64" i="18"/>
  <c r="S75" i="17"/>
  <c r="T74" i="17"/>
  <c r="S65" i="16"/>
  <c r="T65" i="16" s="1"/>
  <c r="S65" i="15"/>
  <c r="T65" i="15" s="1"/>
  <c r="S65" i="24" l="1"/>
  <c r="S65" i="19"/>
  <c r="T64" i="19"/>
  <c r="T65" i="18"/>
  <c r="S66" i="18"/>
  <c r="S76" i="17"/>
  <c r="T75" i="17"/>
  <c r="S66" i="16"/>
  <c r="T66" i="16" s="1"/>
  <c r="S66" i="15"/>
  <c r="T66" i="15" s="1"/>
  <c r="S66" i="24" l="1"/>
  <c r="T65" i="19"/>
  <c r="S66" i="19"/>
  <c r="S67" i="18"/>
  <c r="T66" i="18"/>
  <c r="S77" i="17"/>
  <c r="T76" i="17"/>
  <c r="S67" i="16"/>
  <c r="T67" i="16" s="1"/>
  <c r="S67" i="15"/>
  <c r="T67" i="15" s="1"/>
  <c r="S67" i="24" l="1"/>
  <c r="S67" i="19"/>
  <c r="T66" i="19"/>
  <c r="S68" i="18"/>
  <c r="T67" i="18"/>
  <c r="S78" i="17"/>
  <c r="T77" i="17"/>
  <c r="S68" i="16"/>
  <c r="T68" i="16" s="1"/>
  <c r="S68" i="15"/>
  <c r="T68" i="15" s="1"/>
  <c r="S68" i="24" l="1"/>
  <c r="T67" i="19"/>
  <c r="S68" i="19"/>
  <c r="S69" i="18"/>
  <c r="T68" i="18"/>
  <c r="S79" i="17"/>
  <c r="T78" i="17"/>
  <c r="S69" i="16"/>
  <c r="T69" i="16" s="1"/>
  <c r="S69" i="15"/>
  <c r="T69" i="15" s="1"/>
  <c r="S69" i="24" l="1"/>
  <c r="S69" i="19"/>
  <c r="T68" i="19"/>
  <c r="T69" i="18"/>
  <c r="S70" i="18"/>
  <c r="S80" i="17"/>
  <c r="T79" i="17"/>
  <c r="S70" i="16"/>
  <c r="T70" i="16" s="1"/>
  <c r="S70" i="15"/>
  <c r="T70" i="15" s="1"/>
  <c r="S4" i="14"/>
  <c r="Q12" i="14"/>
  <c r="S5" i="14" l="1"/>
  <c r="T4" i="14"/>
  <c r="S70" i="24"/>
  <c r="T69" i="19"/>
  <c r="S70" i="19"/>
  <c r="S71" i="18"/>
  <c r="T70" i="18"/>
  <c r="S81" i="17"/>
  <c r="T80" i="17"/>
  <c r="S71" i="16"/>
  <c r="T71" i="16" s="1"/>
  <c r="S71" i="15"/>
  <c r="T71" i="15" s="1"/>
  <c r="Q9" i="14"/>
  <c r="Q6" i="14"/>
  <c r="Q3" i="14"/>
  <c r="Q7" i="14"/>
  <c r="Q11" i="14"/>
  <c r="Q5" i="14"/>
  <c r="Q2" i="14"/>
  <c r="Q10" i="14"/>
  <c r="Q4" i="14"/>
  <c r="Q8" i="14"/>
  <c r="S6" i="14" l="1"/>
  <c r="T5" i="14"/>
  <c r="S71" i="24"/>
  <c r="S71" i="19"/>
  <c r="T70" i="19"/>
  <c r="T71" i="18"/>
  <c r="S72" i="18"/>
  <c r="S82" i="17"/>
  <c r="T81" i="17"/>
  <c r="S72" i="16"/>
  <c r="T72" i="16" s="1"/>
  <c r="S72" i="15"/>
  <c r="T72" i="15" s="1"/>
  <c r="Q14" i="14"/>
  <c r="S7" i="14" l="1"/>
  <c r="T6" i="14"/>
  <c r="S72" i="24"/>
  <c r="T71" i="19"/>
  <c r="S72" i="19"/>
  <c r="S73" i="18"/>
  <c r="T72" i="18"/>
  <c r="S83" i="17"/>
  <c r="T82" i="17"/>
  <c r="S73" i="16"/>
  <c r="T73" i="16" s="1"/>
  <c r="S73" i="15"/>
  <c r="T73" i="15" s="1"/>
  <c r="Y46" i="1"/>
  <c r="T46" i="1"/>
  <c r="S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34" i="1"/>
  <c r="X34" i="1"/>
  <c r="W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W5" i="1"/>
  <c r="V5" i="1"/>
  <c r="V34" i="1" s="1"/>
  <c r="S8" i="14" l="1"/>
  <c r="T7" i="14"/>
  <c r="S73" i="24"/>
  <c r="S73" i="19"/>
  <c r="T72" i="19"/>
  <c r="T73" i="18"/>
  <c r="S74" i="18"/>
  <c r="S84" i="17"/>
  <c r="T83" i="17"/>
  <c r="S74" i="16"/>
  <c r="T74" i="16" s="1"/>
  <c r="S74" i="15"/>
  <c r="T74" i="15" s="1"/>
  <c r="G4" i="1"/>
  <c r="Y26" i="1"/>
  <c r="Y4" i="1"/>
  <c r="S9" i="14" l="1"/>
  <c r="T8" i="14"/>
  <c r="S74" i="24"/>
  <c r="T73" i="19"/>
  <c r="S74" i="19"/>
  <c r="S75" i="18"/>
  <c r="T74" i="18"/>
  <c r="S85" i="17"/>
  <c r="T84" i="17"/>
  <c r="S75" i="16"/>
  <c r="T75" i="16" s="1"/>
  <c r="S75" i="15"/>
  <c r="T75" i="15" s="1"/>
  <c r="J10" i="1"/>
  <c r="S10" i="14" l="1"/>
  <c r="T9" i="14"/>
  <c r="S75" i="24"/>
  <c r="S75" i="19"/>
  <c r="T74" i="19"/>
  <c r="S76" i="18"/>
  <c r="T75" i="18"/>
  <c r="S86" i="17"/>
  <c r="T85" i="17"/>
  <c r="S76" i="16"/>
  <c r="T76" i="16" s="1"/>
  <c r="S76" i="15"/>
  <c r="T76" i="15" s="1"/>
  <c r="E26" i="1"/>
  <c r="S11" i="14" l="1"/>
  <c r="T10" i="14"/>
  <c r="S76" i="24"/>
  <c r="T75" i="19"/>
  <c r="S76" i="19"/>
  <c r="S77" i="18"/>
  <c r="T76" i="18"/>
  <c r="S87" i="17"/>
  <c r="T86" i="17"/>
  <c r="S77" i="16"/>
  <c r="T77" i="16" s="1"/>
  <c r="S77" i="15"/>
  <c r="T77" i="15" s="1"/>
  <c r="X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F4" i="1"/>
  <c r="E4" i="1"/>
  <c r="D4" i="1"/>
  <c r="C4" i="1"/>
  <c r="B4" i="1"/>
  <c r="W4" i="1"/>
  <c r="S12" i="14" l="1"/>
  <c r="T11" i="14"/>
  <c r="S77" i="24"/>
  <c r="S77" i="19"/>
  <c r="T76" i="19"/>
  <c r="T77" i="18"/>
  <c r="S78" i="18"/>
  <c r="S88" i="17"/>
  <c r="T87" i="17"/>
  <c r="S78" i="16"/>
  <c r="T78" i="16" s="1"/>
  <c r="S78" i="15"/>
  <c r="T78" i="15" s="1"/>
  <c r="S13" i="14" l="1"/>
  <c r="T12" i="14"/>
  <c r="S78" i="24"/>
  <c r="T77" i="19"/>
  <c r="S78" i="19"/>
  <c r="S79" i="18"/>
  <c r="T78" i="18"/>
  <c r="S89" i="17"/>
  <c r="T88" i="17"/>
  <c r="S79" i="16"/>
  <c r="T79" i="16" s="1"/>
  <c r="S79" i="15"/>
  <c r="T79" i="15" s="1"/>
  <c r="S14" i="14" l="1"/>
  <c r="T13" i="14"/>
  <c r="S79" i="24"/>
  <c r="S79" i="19"/>
  <c r="T78" i="19"/>
  <c r="T79" i="18"/>
  <c r="S80" i="18"/>
  <c r="S90" i="17"/>
  <c r="T89" i="17"/>
  <c r="S80" i="16"/>
  <c r="T80" i="16" s="1"/>
  <c r="S80" i="15"/>
  <c r="T80" i="15" s="1"/>
  <c r="S15" i="14" l="1"/>
  <c r="T14" i="14"/>
  <c r="S80" i="24"/>
  <c r="T79" i="19"/>
  <c r="S80" i="19"/>
  <c r="S81" i="18"/>
  <c r="T80" i="18"/>
  <c r="S91" i="17"/>
  <c r="T90" i="17"/>
  <c r="S81" i="16"/>
  <c r="T81" i="16" s="1"/>
  <c r="S81" i="15"/>
  <c r="T81" i="15" s="1"/>
  <c r="X14" i="1"/>
  <c r="W14" i="1"/>
  <c r="V14" i="1"/>
  <c r="U14" i="1"/>
  <c r="C9" i="2"/>
  <c r="C8" i="2"/>
  <c r="C11" i="2"/>
  <c r="E11" i="2"/>
  <c r="E3" i="2"/>
  <c r="S16" i="14" l="1"/>
  <c r="T15" i="14"/>
  <c r="S81" i="24"/>
  <c r="S81" i="19"/>
  <c r="T80" i="19"/>
  <c r="T81" i="18"/>
  <c r="S82" i="18"/>
  <c r="S92" i="17"/>
  <c r="T91" i="17"/>
  <c r="S82" i="16"/>
  <c r="T82" i="16" s="1"/>
  <c r="S82" i="15"/>
  <c r="T82" i="15" s="1"/>
  <c r="D4" i="2"/>
  <c r="D3" i="2"/>
  <c r="S17" i="14" l="1"/>
  <c r="T16" i="14"/>
  <c r="S82" i="24"/>
  <c r="T81" i="19"/>
  <c r="S82" i="19"/>
  <c r="S83" i="18"/>
  <c r="T82" i="18"/>
  <c r="S93" i="17"/>
  <c r="T92" i="17"/>
  <c r="S83" i="16"/>
  <c r="T83" i="16" s="1"/>
  <c r="S83" i="15"/>
  <c r="T83" i="15" s="1"/>
  <c r="J24" i="2"/>
  <c r="H24" i="2"/>
  <c r="F24" i="2"/>
  <c r="D24" i="2"/>
  <c r="B24" i="2"/>
  <c r="I16" i="2"/>
  <c r="G16" i="2"/>
  <c r="F16" i="2"/>
  <c r="B16" i="2"/>
  <c r="J11" i="2"/>
  <c r="I11" i="2"/>
  <c r="H11" i="2"/>
  <c r="G11" i="2"/>
  <c r="F11" i="2"/>
  <c r="D11" i="2"/>
  <c r="B11" i="2"/>
  <c r="G3" i="2"/>
  <c r="F3" i="2"/>
  <c r="X26" i="1"/>
  <c r="W26" i="1"/>
  <c r="V26" i="1"/>
  <c r="U26" i="1"/>
  <c r="T26" i="1"/>
  <c r="S26" i="1"/>
  <c r="R26" i="1"/>
  <c r="Q26" i="1"/>
  <c r="O26" i="1"/>
  <c r="N26" i="1"/>
  <c r="M26" i="1"/>
  <c r="L26" i="1"/>
  <c r="K26" i="1"/>
  <c r="J26" i="1"/>
  <c r="I26" i="1"/>
  <c r="H26" i="1"/>
  <c r="G26" i="1"/>
  <c r="D26" i="1"/>
  <c r="D9" i="27" s="1"/>
  <c r="D15" i="27" s="1"/>
  <c r="C26" i="1"/>
  <c r="B26" i="1"/>
  <c r="V19" i="1"/>
  <c r="X12" i="1"/>
  <c r="S18" i="14" l="1"/>
  <c r="T17" i="14"/>
  <c r="S83" i="24"/>
  <c r="S83" i="19"/>
  <c r="T82" i="19"/>
  <c r="S84" i="18"/>
  <c r="T83" i="18"/>
  <c r="S94" i="17"/>
  <c r="T93" i="17"/>
  <c r="S84" i="16"/>
  <c r="T84" i="16" s="1"/>
  <c r="S84" i="15"/>
  <c r="T84" i="15" s="1"/>
  <c r="S19" i="14" l="1"/>
  <c r="T18" i="14"/>
  <c r="S84" i="24"/>
  <c r="T83" i="19"/>
  <c r="S84" i="19"/>
  <c r="S85" i="18"/>
  <c r="T84" i="18"/>
  <c r="S95" i="17"/>
  <c r="T94" i="17"/>
  <c r="S85" i="16"/>
  <c r="T85" i="16" s="1"/>
  <c r="S85" i="15"/>
  <c r="T85" i="15" s="1"/>
  <c r="S20" i="14" l="1"/>
  <c r="T19" i="14"/>
  <c r="S85" i="24"/>
  <c r="S85" i="19"/>
  <c r="T84" i="19"/>
  <c r="T85" i="18"/>
  <c r="S86" i="18"/>
  <c r="S96" i="17"/>
  <c r="T95" i="17"/>
  <c r="S86" i="16"/>
  <c r="T86" i="16" s="1"/>
  <c r="S86" i="15"/>
  <c r="T86" i="15" s="1"/>
  <c r="S21" i="14" l="1"/>
  <c r="T20" i="14"/>
  <c r="S86" i="24"/>
  <c r="T85" i="19"/>
  <c r="S86" i="19"/>
  <c r="S87" i="18"/>
  <c r="T86" i="18"/>
  <c r="S97" i="17"/>
  <c r="T96" i="17"/>
  <c r="S87" i="16"/>
  <c r="T87" i="16" s="1"/>
  <c r="S87" i="15"/>
  <c r="T87" i="15" s="1"/>
  <c r="S22" i="14" l="1"/>
  <c r="T21" i="14"/>
  <c r="S87" i="24"/>
  <c r="S87" i="19"/>
  <c r="T86" i="19"/>
  <c r="T87" i="18"/>
  <c r="S88" i="18"/>
  <c r="S98" i="17"/>
  <c r="T97" i="17"/>
  <c r="S88" i="16"/>
  <c r="T88" i="16" s="1"/>
  <c r="S88" i="15"/>
  <c r="T88" i="15" s="1"/>
  <c r="S23" i="14" l="1"/>
  <c r="T22" i="14"/>
  <c r="S88" i="24"/>
  <c r="T87" i="19"/>
  <c r="S88" i="19"/>
  <c r="S89" i="18"/>
  <c r="T88" i="18"/>
  <c r="S99" i="17"/>
  <c r="T98" i="17"/>
  <c r="S89" i="16"/>
  <c r="T89" i="16" s="1"/>
  <c r="S89" i="15"/>
  <c r="T89" i="15" s="1"/>
  <c r="S24" i="14" l="1"/>
  <c r="T23" i="14"/>
  <c r="S89" i="24"/>
  <c r="S89" i="19"/>
  <c r="T88" i="19"/>
  <c r="T89" i="18"/>
  <c r="S90" i="18"/>
  <c r="S100" i="17"/>
  <c r="T99" i="17"/>
  <c r="S90" i="16"/>
  <c r="T90" i="16" s="1"/>
  <c r="S90" i="15"/>
  <c r="T90" i="15" s="1"/>
  <c r="S25" i="14" l="1"/>
  <c r="T24" i="14"/>
  <c r="S90" i="24"/>
  <c r="T89" i="19"/>
  <c r="S90" i="19"/>
  <c r="S91" i="18"/>
  <c r="T90" i="18"/>
  <c r="S101" i="17"/>
  <c r="T100" i="17"/>
  <c r="S91" i="16"/>
  <c r="T91" i="16" s="1"/>
  <c r="S91" i="15"/>
  <c r="T91" i="15" s="1"/>
  <c r="S26" i="14" l="1"/>
  <c r="T25" i="14"/>
  <c r="S91" i="24"/>
  <c r="S91" i="19"/>
  <c r="T90" i="19"/>
  <c r="S92" i="18"/>
  <c r="T91" i="18"/>
  <c r="S102" i="17"/>
  <c r="T101" i="17"/>
  <c r="S92" i="16"/>
  <c r="T92" i="16" s="1"/>
  <c r="S92" i="15"/>
  <c r="T92" i="15" s="1"/>
  <c r="S27" i="14" l="1"/>
  <c r="T26" i="14"/>
  <c r="S92" i="24"/>
  <c r="T91" i="19"/>
  <c r="S92" i="19"/>
  <c r="S93" i="18"/>
  <c r="T92" i="18"/>
  <c r="S103" i="17"/>
  <c r="T102" i="17"/>
  <c r="S93" i="16"/>
  <c r="T93" i="16" s="1"/>
  <c r="S93" i="15"/>
  <c r="T93" i="15" s="1"/>
  <c r="S28" i="14" l="1"/>
  <c r="T27" i="14"/>
  <c r="S93" i="24"/>
  <c r="S93" i="19"/>
  <c r="T92" i="19"/>
  <c r="T93" i="18"/>
  <c r="S94" i="18"/>
  <c r="S104" i="17"/>
  <c r="T103" i="17"/>
  <c r="S94" i="16"/>
  <c r="T94" i="16" s="1"/>
  <c r="S94" i="15"/>
  <c r="T94" i="15" s="1"/>
  <c r="S29" i="14" l="1"/>
  <c r="T28" i="14"/>
  <c r="S94" i="24"/>
  <c r="T93" i="19"/>
  <c r="S94" i="19"/>
  <c r="S95" i="18"/>
  <c r="T94" i="18"/>
  <c r="S105" i="17"/>
  <c r="T105" i="17" s="1"/>
  <c r="T104" i="17"/>
  <c r="S95" i="16"/>
  <c r="T95" i="16" s="1"/>
  <c r="S95" i="15"/>
  <c r="T95" i="15" s="1"/>
  <c r="S30" i="14" l="1"/>
  <c r="T29" i="14"/>
  <c r="S95" i="24"/>
  <c r="S95" i="19"/>
  <c r="T94" i="19"/>
  <c r="T95" i="18"/>
  <c r="S96" i="18"/>
  <c r="S96" i="16"/>
  <c r="T96" i="16" s="1"/>
  <c r="S96" i="15"/>
  <c r="T96" i="15" s="1"/>
  <c r="S31" i="14" l="1"/>
  <c r="T30" i="14"/>
  <c r="S96" i="24"/>
  <c r="T95" i="19"/>
  <c r="S96" i="19"/>
  <c r="S97" i="18"/>
  <c r="T96" i="18"/>
  <c r="S97" i="16"/>
  <c r="T97" i="16" s="1"/>
  <c r="S97" i="15"/>
  <c r="T97" i="15" s="1"/>
  <c r="S32" i="14" l="1"/>
  <c r="T31" i="14"/>
  <c r="S97" i="24"/>
  <c r="S97" i="19"/>
  <c r="T96" i="19"/>
  <c r="T97" i="18"/>
  <c r="S98" i="18"/>
  <c r="S98" i="16"/>
  <c r="T98" i="16" s="1"/>
  <c r="S98" i="15"/>
  <c r="T98" i="15" s="1"/>
  <c r="S33" i="14" l="1"/>
  <c r="T32" i="14"/>
  <c r="S98" i="24"/>
  <c r="T97" i="19"/>
  <c r="S98" i="19"/>
  <c r="S99" i="18"/>
  <c r="T98" i="18"/>
  <c r="S99" i="16"/>
  <c r="T99" i="16" s="1"/>
  <c r="S99" i="15"/>
  <c r="T99" i="15" s="1"/>
  <c r="S34" i="14" l="1"/>
  <c r="T33" i="14"/>
  <c r="S99" i="24"/>
  <c r="S99" i="19"/>
  <c r="T98" i="19"/>
  <c r="T99" i="18"/>
  <c r="S100" i="18"/>
  <c r="S100" i="16"/>
  <c r="T100" i="16" s="1"/>
  <c r="S100" i="15"/>
  <c r="T100" i="15" s="1"/>
  <c r="S35" i="14" l="1"/>
  <c r="T34" i="14"/>
  <c r="S100" i="24"/>
  <c r="T99" i="19"/>
  <c r="S100" i="19"/>
  <c r="S101" i="18"/>
  <c r="T100" i="18"/>
  <c r="S101" i="16"/>
  <c r="T101" i="16" s="1"/>
  <c r="S101" i="15"/>
  <c r="T101" i="15" s="1"/>
  <c r="S36" i="14" l="1"/>
  <c r="T35" i="14"/>
  <c r="S101" i="24"/>
  <c r="S101" i="19"/>
  <c r="T100" i="19"/>
  <c r="T101" i="18"/>
  <c r="S102" i="18"/>
  <c r="S102" i="16"/>
  <c r="T102" i="16" s="1"/>
  <c r="S102" i="15"/>
  <c r="T102" i="15" s="1"/>
  <c r="S37" i="14" l="1"/>
  <c r="T36" i="14"/>
  <c r="S102" i="24"/>
  <c r="T101" i="19"/>
  <c r="S102" i="19"/>
  <c r="S103" i="18"/>
  <c r="T102" i="18"/>
  <c r="S103" i="16"/>
  <c r="T103" i="16" s="1"/>
  <c r="S103" i="15"/>
  <c r="T103" i="15" s="1"/>
  <c r="S38" i="14" l="1"/>
  <c r="T37" i="14"/>
  <c r="S103" i="24"/>
  <c r="S103" i="19"/>
  <c r="T102" i="19"/>
  <c r="S104" i="18"/>
  <c r="T103" i="18"/>
  <c r="S104" i="16"/>
  <c r="T104" i="16" s="1"/>
  <c r="S104" i="15"/>
  <c r="T104" i="15" s="1"/>
  <c r="S39" i="14" l="1"/>
  <c r="T38" i="14"/>
  <c r="S104" i="24"/>
  <c r="T103" i="19"/>
  <c r="S104" i="19"/>
  <c r="S105" i="18"/>
  <c r="T105" i="18" s="1"/>
  <c r="T104" i="18"/>
  <c r="S105" i="16"/>
  <c r="T105" i="16" s="1"/>
  <c r="S105" i="15"/>
  <c r="T105" i="15" s="1"/>
  <c r="S40" i="14" l="1"/>
  <c r="T39" i="14"/>
  <c r="S105" i="24"/>
  <c r="S105" i="19"/>
  <c r="T105" i="19" s="1"/>
  <c r="T104" i="19"/>
  <c r="S41" i="14" l="1"/>
  <c r="T40" i="14"/>
  <c r="S42" i="14" l="1"/>
  <c r="T41" i="14"/>
  <c r="S43" i="14" l="1"/>
  <c r="T42" i="14"/>
  <c r="S44" i="14" l="1"/>
  <c r="T43" i="14"/>
  <c r="S45" i="14" l="1"/>
  <c r="T44" i="14"/>
  <c r="S46" i="14" l="1"/>
  <c r="T45" i="14"/>
  <c r="S47" i="14" l="1"/>
  <c r="T46" i="14"/>
  <c r="S48" i="14" l="1"/>
  <c r="T47" i="14"/>
  <c r="S49" i="14" l="1"/>
  <c r="T48" i="14"/>
  <c r="S50" i="14" l="1"/>
  <c r="T49" i="14"/>
  <c r="S51" i="14" l="1"/>
  <c r="T50" i="14"/>
  <c r="S52" i="14" l="1"/>
  <c r="T51" i="14"/>
  <c r="S53" i="14" l="1"/>
  <c r="T52" i="14"/>
  <c r="S54" i="14" l="1"/>
  <c r="T53" i="14"/>
  <c r="T54" i="14" l="1"/>
  <c r="S55" i="14"/>
  <c r="T55" i="14" l="1"/>
  <c r="S56" i="14"/>
  <c r="T56" i="14" l="1"/>
  <c r="S57" i="14"/>
  <c r="T57" i="14" l="1"/>
  <c r="S58" i="14"/>
  <c r="T58" i="14" l="1"/>
  <c r="S59" i="14"/>
  <c r="T59" i="14" l="1"/>
  <c r="S60" i="14"/>
  <c r="T60" i="14" l="1"/>
  <c r="S61" i="14"/>
  <c r="T61" i="14" l="1"/>
  <c r="S62" i="14"/>
  <c r="T62" i="14" l="1"/>
  <c r="S63" i="14"/>
  <c r="T63" i="14" l="1"/>
  <c r="S64" i="14"/>
  <c r="T64" i="14" l="1"/>
  <c r="S65" i="14"/>
  <c r="T65" i="14" l="1"/>
  <c r="S66" i="14"/>
  <c r="T66" i="14" l="1"/>
  <c r="S67" i="14"/>
  <c r="T67" i="14" l="1"/>
  <c r="S68" i="14"/>
  <c r="T68" i="14" l="1"/>
  <c r="S69" i="14"/>
  <c r="T69" i="14" l="1"/>
  <c r="S70" i="14"/>
  <c r="T70" i="14" l="1"/>
  <c r="S71" i="14"/>
  <c r="T71" i="14" l="1"/>
  <c r="S72" i="14"/>
  <c r="T72" i="14" l="1"/>
  <c r="S73" i="14"/>
  <c r="T73" i="14" l="1"/>
  <c r="S74" i="14"/>
  <c r="T74" i="14" l="1"/>
  <c r="S75" i="14"/>
  <c r="T75" i="14" l="1"/>
  <c r="S76" i="14"/>
  <c r="T76" i="14" l="1"/>
  <c r="S77" i="14"/>
  <c r="T77" i="14" l="1"/>
  <c r="S78" i="14"/>
  <c r="T78" i="14" l="1"/>
  <c r="S79" i="14"/>
  <c r="T79" i="14" l="1"/>
  <c r="S80" i="14"/>
  <c r="T80" i="14" l="1"/>
  <c r="S81" i="14"/>
  <c r="T81" i="14" l="1"/>
  <c r="S82" i="14"/>
  <c r="T82" i="14" l="1"/>
  <c r="S83" i="14"/>
  <c r="T83" i="14" l="1"/>
  <c r="S84" i="14"/>
  <c r="T84" i="14" l="1"/>
  <c r="S85" i="14"/>
  <c r="T85" i="14" l="1"/>
  <c r="S86" i="14"/>
  <c r="T86" i="14" l="1"/>
  <c r="S87" i="14"/>
  <c r="T87" i="14" l="1"/>
  <c r="S88" i="14"/>
  <c r="T88" i="14" l="1"/>
  <c r="S89" i="14"/>
  <c r="T89" i="14" l="1"/>
  <c r="S90" i="14"/>
  <c r="T90" i="14" l="1"/>
  <c r="S91" i="14"/>
  <c r="T91" i="14" l="1"/>
  <c r="S92" i="14"/>
  <c r="T92" i="14" l="1"/>
  <c r="S93" i="14"/>
  <c r="T93" i="14" l="1"/>
  <c r="S94" i="14"/>
  <c r="T94" i="14" l="1"/>
  <c r="S95" i="14"/>
  <c r="T95" i="14" l="1"/>
  <c r="S96" i="14"/>
  <c r="T96" i="14" l="1"/>
  <c r="S97" i="14"/>
  <c r="T97" i="14" l="1"/>
  <c r="S98" i="14"/>
  <c r="T98" i="14" l="1"/>
  <c r="S99" i="14"/>
  <c r="T99" i="14" l="1"/>
  <c r="S100" i="14"/>
  <c r="T100" i="14" l="1"/>
  <c r="S101" i="14"/>
  <c r="T101" i="14" l="1"/>
  <c r="S102" i="14"/>
  <c r="T102" i="14" l="1"/>
  <c r="S103" i="14"/>
  <c r="T103" i="14" l="1"/>
  <c r="S104" i="14"/>
  <c r="T104" i="14" l="1"/>
  <c r="S105" i="14"/>
  <c r="T105" i="14" s="1"/>
</calcChain>
</file>

<file path=xl/sharedStrings.xml><?xml version="1.0" encoding="utf-8"?>
<sst xmlns="http://schemas.openxmlformats.org/spreadsheetml/2006/main" count="447" uniqueCount="217">
  <si>
    <t>UAV</t>
  </si>
  <si>
    <t>Raven</t>
  </si>
  <si>
    <t>Scan Eagle</t>
  </si>
  <si>
    <t>Launch Rq</t>
  </si>
  <si>
    <t>Recov Rq</t>
  </si>
  <si>
    <t>Stealth</t>
  </si>
  <si>
    <t>Cost - Aq</t>
  </si>
  <si>
    <t>Cost - Mx</t>
  </si>
  <si>
    <t>Power Avail</t>
  </si>
  <si>
    <t>Weight</t>
  </si>
  <si>
    <t>Cost - AQ</t>
  </si>
  <si>
    <t>Maker</t>
  </si>
  <si>
    <t>Wasp</t>
  </si>
  <si>
    <t>Shrike</t>
  </si>
  <si>
    <t>Predator</t>
  </si>
  <si>
    <t>Gray Eagle</t>
  </si>
  <si>
    <t>Shadow</t>
  </si>
  <si>
    <t>Fire Scout</t>
  </si>
  <si>
    <t>Reaper</t>
  </si>
  <si>
    <t>Neptune</t>
  </si>
  <si>
    <t>T-Hawk</t>
  </si>
  <si>
    <t>UCAS-D</t>
  </si>
  <si>
    <t>Height (ft)</t>
  </si>
  <si>
    <t>Wingspan (ft)</t>
  </si>
  <si>
    <t>Wing Area (ft2)</t>
  </si>
  <si>
    <t>Payload wt (lb)</t>
  </si>
  <si>
    <t>Endurance (hrs)</t>
  </si>
  <si>
    <t>Ceiling (ft)</t>
  </si>
  <si>
    <t>Range (nm)</t>
  </si>
  <si>
    <t>Flyaway</t>
  </si>
  <si>
    <t>Weapon system</t>
  </si>
  <si>
    <t>Procurement</t>
  </si>
  <si>
    <t>Program</t>
  </si>
  <si>
    <t>RQ-4A</t>
  </si>
  <si>
    <t>RQ-4B</t>
  </si>
  <si>
    <t>MQ-1</t>
  </si>
  <si>
    <t>MQ-1C</t>
  </si>
  <si>
    <t>MQ-4C</t>
  </si>
  <si>
    <t>RQ-7</t>
  </si>
  <si>
    <t>MQ-8</t>
  </si>
  <si>
    <t>MQ-9</t>
  </si>
  <si>
    <t>RQ-11</t>
  </si>
  <si>
    <t>RQ-15</t>
  </si>
  <si>
    <t>RQ-16</t>
  </si>
  <si>
    <t>YMQ-18A</t>
  </si>
  <si>
    <t>RQ-21</t>
  </si>
  <si>
    <t>X-47B</t>
  </si>
  <si>
    <t>WASP III</t>
  </si>
  <si>
    <t>RQ-20</t>
  </si>
  <si>
    <t>Trellisware</t>
  </si>
  <si>
    <t>Persistent Systems</t>
  </si>
  <si>
    <t>OCEUS</t>
  </si>
  <si>
    <t>Simultaneous Freqs</t>
  </si>
  <si>
    <t>Total Freqs</t>
  </si>
  <si>
    <t>Bandwidth Req (MHz)</t>
  </si>
  <si>
    <t>Power Req (W)</t>
  </si>
  <si>
    <t>Throughput-dl (Mb/s)</t>
  </si>
  <si>
    <t>Throughput-up (Mb/s)</t>
  </si>
  <si>
    <t>Communication System</t>
  </si>
  <si>
    <t>WildCat II</t>
  </si>
  <si>
    <t>(1)VHF/(2)UHF</t>
  </si>
  <si>
    <t>TML</t>
  </si>
  <si>
    <t>MTBF</t>
  </si>
  <si>
    <t>MTTR</t>
  </si>
  <si>
    <t>Availability</t>
  </si>
  <si>
    <t>Complexity</t>
  </si>
  <si>
    <t>5/10/20/40 MHz</t>
  </si>
  <si>
    <t>Harris</t>
  </si>
  <si>
    <t>AeroVironment</t>
  </si>
  <si>
    <t>Size (in^3)</t>
  </si>
  <si>
    <t>Frequency Hopping</t>
  </si>
  <si>
    <t>Encryption Enabled</t>
  </si>
  <si>
    <t>Military Designator</t>
  </si>
  <si>
    <t>Dimension - Length (ft)</t>
  </si>
  <si>
    <t>Weight - Empty (lb)</t>
  </si>
  <si>
    <t>Cost - Average unit ($m)</t>
  </si>
  <si>
    <t>Ceiling</t>
  </si>
  <si>
    <t>Endurance</t>
  </si>
  <si>
    <t>Range</t>
  </si>
  <si>
    <t>Observability</t>
  </si>
  <si>
    <t>Vertical</t>
  </si>
  <si>
    <t>Catapult</t>
  </si>
  <si>
    <t>Runway</t>
  </si>
  <si>
    <t>Deep Stall</t>
  </si>
  <si>
    <t>Wire</t>
  </si>
  <si>
    <t>Net</t>
  </si>
  <si>
    <t>Arresting Gear</t>
  </si>
  <si>
    <t>None</t>
  </si>
  <si>
    <t>No</t>
  </si>
  <si>
    <t>Hand</t>
  </si>
  <si>
    <t>Weather Capable</t>
  </si>
  <si>
    <t>Aerosonde Mark 4.7</t>
  </si>
  <si>
    <t>MQ-19</t>
  </si>
  <si>
    <t>Parachute</t>
  </si>
  <si>
    <t>Yes</t>
  </si>
  <si>
    <t>First Flight</t>
  </si>
  <si>
    <t>Base Year</t>
  </si>
  <si>
    <t>Life Cycle</t>
  </si>
  <si>
    <t>-</t>
  </si>
  <si>
    <t>Years in Service</t>
  </si>
  <si>
    <t>RAID Tower</t>
  </si>
  <si>
    <t>Cerberus Tower</t>
  </si>
  <si>
    <t>PTDS 74K</t>
  </si>
  <si>
    <t>Aerostat</t>
  </si>
  <si>
    <t>TIF-25K</t>
  </si>
  <si>
    <t>Hours flown</t>
  </si>
  <si>
    <t>Mishap Rate Total</t>
  </si>
  <si>
    <t>http://www.defenseindustrydaily.com/the-usas-raid-program-small-aerostats-big-surveillance-time-02779/</t>
  </si>
  <si>
    <t>GSAAdvaantage</t>
  </si>
  <si>
    <t>http://www.defenseindustrydaily.com/Digital-Raven-Up-to-666M-to-AeroVironment-for-UAV-Upgrades-06050/</t>
  </si>
  <si>
    <t>http://www.defenseindustrydaily.com/Drone-Relay-PRC-152-Radios-RQ-7-UAVs-Front-Line-Bandwidth-04753/</t>
  </si>
  <si>
    <t>http://www.defenseindustrydaily.com/a160-hummingbird-boeings-variable-rotor-vtuav-03989/</t>
  </si>
  <si>
    <t>http://www.defenseindustrydaily.com/133M-to-Lockheed-Martin-for-US-Army-Aerostat-based-Warning-System-05835/</t>
  </si>
  <si>
    <t>http://www.defenseindustrydaily.com/cerberus-standing-guard-over-us-militarys-forward-bases-06129/</t>
  </si>
  <si>
    <t>Y</t>
  </si>
  <si>
    <t>N</t>
  </si>
  <si>
    <t>Data</t>
  </si>
  <si>
    <t>Voice / Data</t>
  </si>
  <si>
    <t>Both</t>
  </si>
  <si>
    <t>5 year Average Mishap Rate (100k hrs)</t>
  </si>
  <si>
    <t>mishap rate source: 1998/2001-2013 Mishap History, US Airfoce</t>
  </si>
  <si>
    <t>Puma AE</t>
  </si>
  <si>
    <t>http%3A%2F%2Fwww.defense.gov%2Fpubs%2FDOD-USRM-2013.pdf&amp;ei=Mt0TU9yMEObaygOO7ICwBA&amp;usg=AFQjCNEBk_hbNEQHRPjC3iC8-fo9fhXevQ&amp;sig2=ikxvkVnrgPfWHpqrQyvo0A</t>
  </si>
  <si>
    <t>2009 UAV Roadmap, page 93</t>
  </si>
  <si>
    <t>Global Hawk A</t>
  </si>
  <si>
    <t>Carrier</t>
  </si>
  <si>
    <t>Tx Power Out</t>
  </si>
  <si>
    <t>http://www.avinc.com/downloads/DDLDataSheet2012.pdf</t>
  </si>
  <si>
    <t>FIPS 140-2 (up to level 2)</t>
  </si>
  <si>
    <t>http://www.persistentsystems.com/pdf/Gen4_GovernmentAndMilitary_SpecSheet.pdf</t>
  </si>
  <si>
    <t>http://www.oceusnetworks.com/sites/oceusnetworks.com/files/oceus-ds-xiphos-7-13final.pdf</t>
  </si>
  <si>
    <t>AES</t>
  </si>
  <si>
    <t>Sierra II Based Type-1</t>
  </si>
  <si>
    <t>http://rf.harris.com/media/AN-PRC-117G_WEB_tcm26-9017.pdf</t>
  </si>
  <si>
    <t>http://rf.harris.com/media/AN-PRC-152_M1_Web_tcm26-9021.pdf</t>
  </si>
  <si>
    <t>http://rf.harris.com/media/prc-152_vrc-110_handbook_tcm26-11408.pdf</t>
  </si>
  <si>
    <t>IOC</t>
  </si>
  <si>
    <t>Year in Service</t>
  </si>
  <si>
    <t>Ocelot</t>
  </si>
  <si>
    <t>https://www.trellisware.com/wp-content/uploads/TW-600_Ocelot_Product_bulletin.pdf</t>
  </si>
  <si>
    <t>https://www.trellisware.com/wp-content/uploads/TW-130-WildCat-II-Product-Bulletin.pdf</t>
  </si>
  <si>
    <t>Mesh</t>
  </si>
  <si>
    <t>Manet</t>
  </si>
  <si>
    <t>Triton</t>
  </si>
  <si>
    <t>Blackjack</t>
  </si>
  <si>
    <t>Global Hawk</t>
  </si>
  <si>
    <t>Digital Data Link</t>
  </si>
  <si>
    <t>Xiphos - 6RU</t>
  </si>
  <si>
    <t>Xiphos - 1RU</t>
  </si>
  <si>
    <t>Falcon III AN/PRC-117G</t>
  </si>
  <si>
    <t>Wave Relay Quad</t>
  </si>
  <si>
    <t>Speed (knots)</t>
  </si>
  <si>
    <t>Wave Relay</t>
  </si>
  <si>
    <t>Receiver Sensitivity (dBm)</t>
  </si>
  <si>
    <t>Comm dist (nm)</t>
  </si>
  <si>
    <t>Avenger</t>
  </si>
  <si>
    <t>http://www.ga-asi.com/products/aircraft/pdf/Predator_C.pdf</t>
  </si>
  <si>
    <t>http://www.ga-asi.com/products/aircraft/pdf/Gray_Eagle.pdf</t>
  </si>
  <si>
    <t>Source</t>
  </si>
  <si>
    <t>http://www.ga-asi.com/products/aircraft/pdf/MQ-1_Predator.pdf</t>
  </si>
  <si>
    <t>http://www.ga-asi.com/products/aircraft/pdf/Predator_B.pdf</t>
  </si>
  <si>
    <t>http://www.northropgrumman.com/Capabilities/GlobalHawk/Pages/default.aspx</t>
  </si>
  <si>
    <t>http://www.northropgrumman.com/Capabilities/Triton/Pages/default.aspx</t>
  </si>
  <si>
    <t>http://www.lockheedmartin.com/content/dam/lockheed/data/ms2/documents/Lighter-Than-Air-brochure.pdf</t>
  </si>
  <si>
    <t>http://ravenaerostar.com/solutions/aerostats/tif-25k</t>
  </si>
  <si>
    <t>Use Rossi</t>
  </si>
  <si>
    <t>Hummingbird</t>
  </si>
  <si>
    <t>http://www.boeing.com/boeing/bds/phantom_works/hummingbird.page</t>
  </si>
  <si>
    <t>http://www.northropgrumman.com/Capabilities/FireScout/Documents/pageDocuments/MQ-8B_Fire_Scout_Data_Sheet.pdf</t>
  </si>
  <si>
    <t>http://www.avinc.com/downloads/Raven_Gimbal.pdf</t>
  </si>
  <si>
    <t>http://www.insitu.com/systems/integrator/rq-21a-blackjack</t>
  </si>
  <si>
    <t>http://www.avinc.com/downloads/Wasp_III.pdf</t>
  </si>
  <si>
    <t>http://www.insitu.com/systems/scaneagle</t>
  </si>
  <si>
    <t>http://www.insitu.com/images/uploads/product-cards/ScanEagle.pdf</t>
  </si>
  <si>
    <t>http://archive.is/jpRt</t>
  </si>
  <si>
    <t>http://www.fas.org/man/dod-101/sys/land/wsh2012/254.pdf</t>
  </si>
  <si>
    <t>Falcon III RF-7800W OU440</t>
  </si>
  <si>
    <t>Mesh/MANET/None</t>
  </si>
  <si>
    <t>Pounds</t>
  </si>
  <si>
    <t>Assessed value</t>
  </si>
  <si>
    <t>a</t>
  </si>
  <si>
    <t>K</t>
  </si>
  <si>
    <t>Calculated value</t>
  </si>
  <si>
    <t xml:space="preserve">Squared difference </t>
  </si>
  <si>
    <t>sum of squared differences</t>
  </si>
  <si>
    <t>x</t>
  </si>
  <si>
    <t>v(x)</t>
  </si>
  <si>
    <t>Feet</t>
  </si>
  <si>
    <t>b</t>
  </si>
  <si>
    <t>Hours</t>
  </si>
  <si>
    <t>Nautical miles</t>
  </si>
  <si>
    <t>Knots</t>
  </si>
  <si>
    <t>Years in service</t>
  </si>
  <si>
    <t>Deicing capability</t>
  </si>
  <si>
    <t>Man portability</t>
  </si>
  <si>
    <t>Able to be carried by a single user</t>
  </si>
  <si>
    <t>Launch method</t>
  </si>
  <si>
    <t>Recovery method</t>
  </si>
  <si>
    <t>All weather capability</t>
  </si>
  <si>
    <t>Attributes</t>
  </si>
  <si>
    <t>Objective</t>
  </si>
  <si>
    <t>Performance</t>
  </si>
  <si>
    <t>Readiness</t>
  </si>
  <si>
    <t>Survivability</t>
  </si>
  <si>
    <t>Flexibility</t>
  </si>
  <si>
    <t>Technology maturity level</t>
  </si>
  <si>
    <t>Local weight</t>
  </si>
  <si>
    <t>Global weight</t>
  </si>
  <si>
    <t>Attribute</t>
  </si>
  <si>
    <t>Cruise speed</t>
  </si>
  <si>
    <t>Useful load</t>
  </si>
  <si>
    <t>Man Portability</t>
  </si>
  <si>
    <t>Measure of effectiveness</t>
  </si>
  <si>
    <t>Effectiveness by objective</t>
  </si>
  <si>
    <t>Annualized LCC ($ mil)</t>
  </si>
  <si>
    <t>Annualized LCC ($mil)</t>
  </si>
  <si>
    <t>Field of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</si>
</sst>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7" formatCode="0.00000"/>
    <numFmt numFmtId="168" formatCode="0.000"/>
    <numFmt numFmtId="169" formatCode="0.000E+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0" fontId="0" fillId="0" borderId="0" xfId="0" applyNumberFormat="1"/>
    <xf numFmtId="0" fontId="1" fillId="0" borderId="0" xfId="1"/>
    <xf numFmtId="0" fontId="0" fillId="0" borderId="0" xfId="0" quotePrefix="1"/>
    <xf numFmtId="0" fontId="0" fillId="0" borderId="0" xfId="0" applyFill="1"/>
    <xf numFmtId="0" fontId="0" fillId="2" borderId="0" xfId="0" applyFill="1"/>
    <xf numFmtId="164" fontId="0" fillId="2" borderId="0" xfId="0" applyNumberFormat="1" applyFill="1"/>
    <xf numFmtId="167" fontId="0" fillId="2" borderId="0" xfId="0" applyNumberFormat="1" applyFill="1"/>
    <xf numFmtId="0" fontId="0" fillId="2" borderId="0" xfId="0" quotePrefix="1" applyFill="1"/>
    <xf numFmtId="0" fontId="0" fillId="2" borderId="0" xfId="0" applyNumberFormat="1" applyFill="1"/>
    <xf numFmtId="0" fontId="0" fillId="2" borderId="0" xfId="0" quotePrefix="1" applyNumberFormat="1" applyFill="1"/>
    <xf numFmtId="17" fontId="0" fillId="2" borderId="0" xfId="0" applyNumberFormat="1" applyFill="1"/>
    <xf numFmtId="0" fontId="1" fillId="2" borderId="0" xfId="1" applyFill="1"/>
    <xf numFmtId="168" fontId="0" fillId="0" borderId="0" xfId="0" applyNumberFormat="1"/>
    <xf numFmtId="169" fontId="0" fillId="0" borderId="0" xfId="0" applyNumberFormat="1"/>
    <xf numFmtId="0" fontId="2" fillId="0" borderId="0" xfId="0" applyFont="1"/>
    <xf numFmtId="0" fontId="2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00000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Useful load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'Useful load'!$A$2:$A$12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18</c:v>
                </c:pt>
                <c:pt idx="7">
                  <c:v>30</c:v>
                </c:pt>
                <c:pt idx="8">
                  <c:v>50</c:v>
                </c:pt>
                <c:pt idx="9">
                  <c:v>60</c:v>
                </c:pt>
                <c:pt idx="10">
                  <c:v>70</c:v>
                </c:pt>
              </c:numCache>
            </c:numRef>
          </c:xVal>
          <c:yVal>
            <c:numRef>
              <c:f>'Useful load'!$B$2:$B$12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'Useful load'!$S$4:$S$105</c:f>
              <c:numCache>
                <c:formatCode>General</c:formatCode>
                <c:ptCount val="102"/>
                <c:pt idx="0">
                  <c:v>3</c:v>
                </c:pt>
                <c:pt idx="1">
                  <c:v>4.34</c:v>
                </c:pt>
                <c:pt idx="2">
                  <c:v>5.68</c:v>
                </c:pt>
                <c:pt idx="3">
                  <c:v>7.02</c:v>
                </c:pt>
                <c:pt idx="4">
                  <c:v>8.36</c:v>
                </c:pt>
                <c:pt idx="5">
                  <c:v>9.6999999999999993</c:v>
                </c:pt>
                <c:pt idx="6">
                  <c:v>11.04</c:v>
                </c:pt>
                <c:pt idx="7">
                  <c:v>12.379999999999999</c:v>
                </c:pt>
                <c:pt idx="8">
                  <c:v>13.719999999999999</c:v>
                </c:pt>
                <c:pt idx="9">
                  <c:v>15.059999999999999</c:v>
                </c:pt>
                <c:pt idx="10">
                  <c:v>16.399999999999999</c:v>
                </c:pt>
                <c:pt idx="11">
                  <c:v>17.739999999999998</c:v>
                </c:pt>
                <c:pt idx="12">
                  <c:v>19.079999999999998</c:v>
                </c:pt>
                <c:pt idx="13">
                  <c:v>20.419999999999998</c:v>
                </c:pt>
                <c:pt idx="14">
                  <c:v>21.759999999999998</c:v>
                </c:pt>
                <c:pt idx="15">
                  <c:v>23.099999999999998</c:v>
                </c:pt>
                <c:pt idx="16">
                  <c:v>24.439999999999998</c:v>
                </c:pt>
                <c:pt idx="17">
                  <c:v>25.779999999999998</c:v>
                </c:pt>
                <c:pt idx="18">
                  <c:v>27.119999999999997</c:v>
                </c:pt>
                <c:pt idx="19">
                  <c:v>28.459999999999997</c:v>
                </c:pt>
                <c:pt idx="20">
                  <c:v>29.799999999999997</c:v>
                </c:pt>
                <c:pt idx="21">
                  <c:v>31.139999999999997</c:v>
                </c:pt>
                <c:pt idx="22">
                  <c:v>32.479999999999997</c:v>
                </c:pt>
                <c:pt idx="23">
                  <c:v>33.82</c:v>
                </c:pt>
                <c:pt idx="24">
                  <c:v>35.160000000000004</c:v>
                </c:pt>
                <c:pt idx="25">
                  <c:v>36.500000000000007</c:v>
                </c:pt>
                <c:pt idx="26">
                  <c:v>37.840000000000011</c:v>
                </c:pt>
                <c:pt idx="27">
                  <c:v>39.180000000000014</c:v>
                </c:pt>
                <c:pt idx="28">
                  <c:v>40.520000000000017</c:v>
                </c:pt>
                <c:pt idx="29">
                  <c:v>41.860000000000021</c:v>
                </c:pt>
                <c:pt idx="30">
                  <c:v>43.200000000000024</c:v>
                </c:pt>
                <c:pt idx="31">
                  <c:v>44.540000000000028</c:v>
                </c:pt>
                <c:pt idx="32">
                  <c:v>45.880000000000031</c:v>
                </c:pt>
                <c:pt idx="33">
                  <c:v>47.220000000000034</c:v>
                </c:pt>
                <c:pt idx="34">
                  <c:v>48.560000000000038</c:v>
                </c:pt>
                <c:pt idx="35">
                  <c:v>49.900000000000041</c:v>
                </c:pt>
                <c:pt idx="36">
                  <c:v>51.240000000000045</c:v>
                </c:pt>
                <c:pt idx="37">
                  <c:v>52.580000000000048</c:v>
                </c:pt>
                <c:pt idx="38">
                  <c:v>53.920000000000051</c:v>
                </c:pt>
                <c:pt idx="39">
                  <c:v>55.260000000000055</c:v>
                </c:pt>
                <c:pt idx="40">
                  <c:v>56.600000000000058</c:v>
                </c:pt>
                <c:pt idx="41">
                  <c:v>57.940000000000062</c:v>
                </c:pt>
                <c:pt idx="42">
                  <c:v>59.280000000000065</c:v>
                </c:pt>
                <c:pt idx="43">
                  <c:v>60.620000000000068</c:v>
                </c:pt>
                <c:pt idx="44">
                  <c:v>61.960000000000072</c:v>
                </c:pt>
                <c:pt idx="45">
                  <c:v>63.300000000000075</c:v>
                </c:pt>
                <c:pt idx="46">
                  <c:v>64.640000000000072</c:v>
                </c:pt>
                <c:pt idx="47">
                  <c:v>65.980000000000075</c:v>
                </c:pt>
                <c:pt idx="48">
                  <c:v>67.320000000000078</c:v>
                </c:pt>
                <c:pt idx="49">
                  <c:v>68.660000000000082</c:v>
                </c:pt>
                <c:pt idx="50">
                  <c:v>70.000000000000085</c:v>
                </c:pt>
                <c:pt idx="51">
                  <c:v>71.340000000000089</c:v>
                </c:pt>
                <c:pt idx="52">
                  <c:v>72.680000000000092</c:v>
                </c:pt>
                <c:pt idx="53">
                  <c:v>74.020000000000095</c:v>
                </c:pt>
                <c:pt idx="54">
                  <c:v>75.360000000000099</c:v>
                </c:pt>
                <c:pt idx="55">
                  <c:v>76.700000000000102</c:v>
                </c:pt>
                <c:pt idx="56">
                  <c:v>78.040000000000106</c:v>
                </c:pt>
                <c:pt idx="57">
                  <c:v>79.380000000000109</c:v>
                </c:pt>
                <c:pt idx="58">
                  <c:v>80.720000000000113</c:v>
                </c:pt>
                <c:pt idx="59">
                  <c:v>82.060000000000116</c:v>
                </c:pt>
                <c:pt idx="60">
                  <c:v>83.400000000000119</c:v>
                </c:pt>
                <c:pt idx="61">
                  <c:v>84.740000000000123</c:v>
                </c:pt>
                <c:pt idx="62">
                  <c:v>86.080000000000126</c:v>
                </c:pt>
                <c:pt idx="63">
                  <c:v>87.42000000000013</c:v>
                </c:pt>
                <c:pt idx="64">
                  <c:v>88.760000000000133</c:v>
                </c:pt>
                <c:pt idx="65">
                  <c:v>90.100000000000136</c:v>
                </c:pt>
                <c:pt idx="66">
                  <c:v>91.44000000000014</c:v>
                </c:pt>
                <c:pt idx="67">
                  <c:v>92.780000000000143</c:v>
                </c:pt>
                <c:pt idx="68">
                  <c:v>94.120000000000147</c:v>
                </c:pt>
                <c:pt idx="69">
                  <c:v>95.46000000000015</c:v>
                </c:pt>
                <c:pt idx="70">
                  <c:v>96.800000000000153</c:v>
                </c:pt>
                <c:pt idx="71">
                  <c:v>98.140000000000157</c:v>
                </c:pt>
                <c:pt idx="72">
                  <c:v>99.48000000000016</c:v>
                </c:pt>
                <c:pt idx="73">
                  <c:v>100.82000000000016</c:v>
                </c:pt>
                <c:pt idx="74">
                  <c:v>102.16000000000017</c:v>
                </c:pt>
                <c:pt idx="75">
                  <c:v>103.50000000000017</c:v>
                </c:pt>
                <c:pt idx="76">
                  <c:v>104.84000000000017</c:v>
                </c:pt>
                <c:pt idx="77">
                  <c:v>106.18000000000018</c:v>
                </c:pt>
                <c:pt idx="78">
                  <c:v>107.52000000000018</c:v>
                </c:pt>
                <c:pt idx="79">
                  <c:v>108.86000000000018</c:v>
                </c:pt>
                <c:pt idx="80">
                  <c:v>110.20000000000019</c:v>
                </c:pt>
                <c:pt idx="81">
                  <c:v>111.54000000000019</c:v>
                </c:pt>
                <c:pt idx="82">
                  <c:v>112.88000000000019</c:v>
                </c:pt>
                <c:pt idx="83">
                  <c:v>114.2200000000002</c:v>
                </c:pt>
                <c:pt idx="84">
                  <c:v>115.5600000000002</c:v>
                </c:pt>
                <c:pt idx="85">
                  <c:v>116.9000000000002</c:v>
                </c:pt>
                <c:pt idx="86">
                  <c:v>118.24000000000021</c:v>
                </c:pt>
                <c:pt idx="87">
                  <c:v>119.58000000000021</c:v>
                </c:pt>
                <c:pt idx="88">
                  <c:v>120.92000000000021</c:v>
                </c:pt>
                <c:pt idx="89">
                  <c:v>122.26000000000022</c:v>
                </c:pt>
                <c:pt idx="90">
                  <c:v>123.60000000000022</c:v>
                </c:pt>
                <c:pt idx="91">
                  <c:v>124.94000000000023</c:v>
                </c:pt>
                <c:pt idx="92">
                  <c:v>126.28000000000023</c:v>
                </c:pt>
                <c:pt idx="93">
                  <c:v>127.62000000000023</c:v>
                </c:pt>
                <c:pt idx="94">
                  <c:v>128.96000000000024</c:v>
                </c:pt>
                <c:pt idx="95">
                  <c:v>130.30000000000024</c:v>
                </c:pt>
                <c:pt idx="96">
                  <c:v>131.64000000000024</c:v>
                </c:pt>
                <c:pt idx="97">
                  <c:v>132.98000000000025</c:v>
                </c:pt>
                <c:pt idx="98">
                  <c:v>134.32000000000025</c:v>
                </c:pt>
                <c:pt idx="99">
                  <c:v>135.66000000000025</c:v>
                </c:pt>
                <c:pt idx="100">
                  <c:v>137.00000000000026</c:v>
                </c:pt>
                <c:pt idx="101">
                  <c:v>138.34000000000026</c:v>
                </c:pt>
              </c:numCache>
            </c:numRef>
          </c:xVal>
          <c:yVal>
            <c:numRef>
              <c:f>'Useful load'!$T$4:$T$105</c:f>
              <c:numCache>
                <c:formatCode>General</c:formatCode>
                <c:ptCount val="102"/>
                <c:pt idx="0">
                  <c:v>0</c:v>
                </c:pt>
                <c:pt idx="1">
                  <c:v>0.21116793416841864</c:v>
                </c:pt>
                <c:pt idx="2">
                  <c:v>0.33770165808509561</c:v>
                </c:pt>
                <c:pt idx="3">
                  <c:v>0.43406525959174069</c:v>
                </c:pt>
                <c:pt idx="4">
                  <c:v>0.51137102001175516</c:v>
                </c:pt>
                <c:pt idx="5">
                  <c:v>0.57507304895048816</c:v>
                </c:pt>
                <c:pt idx="6">
                  <c:v>0.62846366527654174</c:v>
                </c:pt>
                <c:pt idx="7">
                  <c:v>0.67375038630443174</c:v>
                </c:pt>
                <c:pt idx="8">
                  <c:v>0.71251099640550308</c:v>
                </c:pt>
                <c:pt idx="9">
                  <c:v>0.74592261030023244</c:v>
                </c:pt>
                <c:pt idx="10">
                  <c:v>0.77489083804522918</c:v>
                </c:pt>
                <c:pt idx="11">
                  <c:v>0.80012868480755261</c:v>
                </c:pt>
                <c:pt idx="12">
                  <c:v>0.82220769567595253</c:v>
                </c:pt>
                <c:pt idx="13">
                  <c:v>0.84159266135082755</c:v>
                </c:pt>
                <c:pt idx="14">
                  <c:v>0.85866603800437591</c:v>
                </c:pt>
                <c:pt idx="15">
                  <c:v>0.87374564161846069</c:v>
                </c:pt>
                <c:pt idx="16">
                  <c:v>0.88709778315344912</c:v>
                </c:pt>
                <c:pt idx="17">
                  <c:v>0.89894721876790806</c:v>
                </c:pt>
                <c:pt idx="18">
                  <c:v>0.90948481787498292</c:v>
                </c:pt>
                <c:pt idx="19">
                  <c:v>0.91887356006090726</c:v>
                </c:pt>
                <c:pt idx="20">
                  <c:v>0.92725328517303263</c:v>
                </c:pt>
                <c:pt idx="21">
                  <c:v>0.93474449787072467</c:v>
                </c:pt>
                <c:pt idx="22">
                  <c:v>0.94145144480479681</c:v>
                </c:pt>
                <c:pt idx="23">
                  <c:v>0.94746462514660879</c:v>
                </c:pt>
                <c:pt idx="24">
                  <c:v>0.95286285469605514</c:v>
                </c:pt>
                <c:pt idx="25">
                  <c:v>0.95771497474553957</c:v>
                </c:pt>
                <c:pt idx="26">
                  <c:v>0.96208127569887192</c:v>
                </c:pt>
                <c:pt idx="27">
                  <c:v>0.9660146897829982</c:v>
                </c:pt>
                <c:pt idx="28">
                  <c:v>0.96956179545808996</c:v>
                </c:pt>
                <c:pt idx="29">
                  <c:v>0.9727636672379828</c:v>
                </c:pt>
                <c:pt idx="30">
                  <c:v>0.97565659781843628</c:v>
                </c:pt>
                <c:pt idx="31">
                  <c:v>0.97827271413747952</c:v>
                </c:pt>
                <c:pt idx="32">
                  <c:v>0.98064050487453158</c:v>
                </c:pt>
                <c:pt idx="33">
                  <c:v>0.98278527365289126</c:v>
                </c:pt>
                <c:pt idx="34">
                  <c:v>0.98472952963772098</c:v>
                </c:pt>
                <c:pt idx="35">
                  <c:v>0.98649332516592936</c:v>
                </c:pt>
                <c:pt idx="36">
                  <c:v>0.98809454839068944</c:v>
                </c:pt>
                <c:pt idx="37">
                  <c:v>0.98954917758490268</c:v>
                </c:pt>
                <c:pt idx="38">
                  <c:v>0.99087150265840696</c:v>
                </c:pt>
                <c:pt idx="39">
                  <c:v>0.99207431855210748</c:v>
                </c:pt>
                <c:pt idx="40">
                  <c:v>0.9931690944388688</c:v>
                </c:pt>
                <c:pt idx="41">
                  <c:v>0.99416612205502708</c:v>
                </c:pt>
                <c:pt idx="42">
                  <c:v>0.99507464598344231</c:v>
                </c:pt>
                <c:pt idx="43">
                  <c:v>0.9959029782898452</c:v>
                </c:pt>
                <c:pt idx="44">
                  <c:v>0.99665859956356073</c:v>
                </c:pt>
                <c:pt idx="45">
                  <c:v>0.99734824811919964</c:v>
                </c:pt>
                <c:pt idx="46">
                  <c:v>0.99797799886778282</c:v>
                </c:pt>
                <c:pt idx="47">
                  <c:v>0.99855333315597861</c:v>
                </c:pt>
                <c:pt idx="48">
                  <c:v>0.9990792006942516</c:v>
                </c:pt>
                <c:pt idx="49">
                  <c:v>0.99956007454340912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69088"/>
        <c:axId val="109771776"/>
      </c:scatterChart>
      <c:valAx>
        <c:axId val="10976908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Pounds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771776"/>
        <c:crosses val="autoZero"/>
        <c:crossBetween val="midCat"/>
      </c:valAx>
      <c:valAx>
        <c:axId val="10977177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7690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 portability value function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'Man portability'!$A$2:$A$3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'Man portability'!$B$2:$B$3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89312"/>
        <c:axId val="92991488"/>
      </c:lineChart>
      <c:catAx>
        <c:axId val="9298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Able</a:t>
                </a:r>
                <a:r>
                  <a:rPr lang="en-US" baseline="0"/>
                  <a:t> to be carried by a single user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92991488"/>
        <c:crosses val="autoZero"/>
        <c:auto val="0"/>
        <c:lblAlgn val="ctr"/>
        <c:lblOffset val="100"/>
        <c:noMultiLvlLbl val="0"/>
      </c:catAx>
      <c:valAx>
        <c:axId val="929914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989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Launch method value function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'Launch method'!$A$2:$A$6</c:f>
              <c:strCache>
                <c:ptCount val="5"/>
                <c:pt idx="0">
                  <c:v>Runway</c:v>
                </c:pt>
                <c:pt idx="1">
                  <c:v>Carrier</c:v>
                </c:pt>
                <c:pt idx="2">
                  <c:v>Catapult</c:v>
                </c:pt>
                <c:pt idx="3">
                  <c:v>Hand</c:v>
                </c:pt>
                <c:pt idx="4">
                  <c:v>Vertical</c:v>
                </c:pt>
              </c:strCache>
            </c:strRef>
          </c:cat>
          <c:val>
            <c:numRef>
              <c:f>'Launch method'!$B$2:$B$6</c:f>
              <c:numCache>
                <c:formatCode>General</c:formatCode>
                <c:ptCount val="5"/>
                <c:pt idx="0">
                  <c:v>0</c:v>
                </c:pt>
                <c:pt idx="1">
                  <c:v>0.2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19232"/>
        <c:axId val="93121152"/>
      </c:lineChart>
      <c:catAx>
        <c:axId val="9311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Launch method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93121152"/>
        <c:crosses val="autoZero"/>
        <c:auto val="0"/>
        <c:lblAlgn val="ctr"/>
        <c:lblOffset val="100"/>
        <c:noMultiLvlLbl val="0"/>
      </c:catAx>
      <c:valAx>
        <c:axId val="9312115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11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Recovery method value function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'Recovery method'!$A$2:$A$8</c:f>
              <c:strCache>
                <c:ptCount val="7"/>
                <c:pt idx="0">
                  <c:v>Runway</c:v>
                </c:pt>
                <c:pt idx="1">
                  <c:v>Arresting Gear</c:v>
                </c:pt>
                <c:pt idx="2">
                  <c:v>Net</c:v>
                </c:pt>
                <c:pt idx="3">
                  <c:v>Wire</c:v>
                </c:pt>
                <c:pt idx="4">
                  <c:v>Deep Stall</c:v>
                </c:pt>
                <c:pt idx="5">
                  <c:v>Parachute</c:v>
                </c:pt>
                <c:pt idx="6">
                  <c:v>Vertical</c:v>
                </c:pt>
              </c:strCache>
            </c:strRef>
          </c:cat>
          <c:val>
            <c:numRef>
              <c:f>'Recovery method'!$B$2:$B$8</c:f>
              <c:numCache>
                <c:formatCode>General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30112"/>
        <c:axId val="93140480"/>
      </c:lineChart>
      <c:catAx>
        <c:axId val="9313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Recovery method</a:t>
                </a:r>
              </a:p>
            </c:rich>
          </c:tx>
          <c:layout>
            <c:manualLayout>
              <c:xMode val="edge"/>
              <c:yMode val="edge"/>
              <c:x val="0.38787947886604673"/>
              <c:y val="0.917884728124734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93140480"/>
        <c:crosses val="autoZero"/>
        <c:auto val="0"/>
        <c:lblAlgn val="ctr"/>
        <c:lblOffset val="100"/>
        <c:noMultiLvlLbl val="0"/>
      </c:catAx>
      <c:valAx>
        <c:axId val="931404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130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</a:t>
            </a:r>
            <a:r>
              <a:rPr lang="en-US" baseline="0"/>
              <a:t> effectiveness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MoE!$Y$1</c:f>
              <c:strCache>
                <c:ptCount val="1"/>
                <c:pt idx="0">
                  <c:v>Avenger</c:v>
                </c:pt>
              </c:strCache>
            </c:strRef>
          </c:tx>
          <c:yVal>
            <c:numRef>
              <c:f>MoE!$Y$2:$Y$22</c:f>
            </c:numRef>
          </c:yVal>
          <c:smooth val="0"/>
        </c:ser>
        <c:ser>
          <c:idx val="1"/>
          <c:order val="1"/>
          <c:spPr>
            <a:ln>
              <a:noFill/>
            </a:ln>
          </c:spPr>
          <c:dLbls>
            <c:dLbl>
              <c:idx val="0"/>
              <c:layout/>
              <c:tx>
                <c:strRef>
                  <c:f>MoE!$B$1</c:f>
                  <c:strCache>
                    <c:ptCount val="1"/>
                    <c:pt idx="0">
                      <c:v>Predator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MoE!$C$1</c:f>
                  <c:strCache>
                    <c:ptCount val="1"/>
                    <c:pt idx="0">
                      <c:v>Gray Eagle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MoE!$E$1</c:f>
                  <c:strCache>
                    <c:ptCount val="1"/>
                    <c:pt idx="0">
                      <c:v>Global Hawk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MoE!$F$1</c:f>
                  <c:strCache>
                    <c:ptCount val="1"/>
                    <c:pt idx="0">
                      <c:v>Triton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MoE!$H$1</c:f>
                  <c:strCache>
                    <c:ptCount val="1"/>
                    <c:pt idx="0">
                      <c:v>Fire Scout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MoE!$I$1</c:f>
                  <c:strCache>
                    <c:ptCount val="1"/>
                    <c:pt idx="0">
                      <c:v>Reaper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MoE!$M$1</c:f>
                  <c:strCache>
                    <c:ptCount val="1"/>
                    <c:pt idx="0">
                      <c:v>Hummingbird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8608058608059684E-3"/>
                  <c:y val="3.0245747892403252E-2"/>
                </c:manualLayout>
              </c:layout>
              <c:tx>
                <c:strRef>
                  <c:f>MoE!$P$1</c:f>
                  <c:strCache>
                    <c:ptCount val="1"/>
                    <c:pt idx="0">
                      <c:v>UCAS-D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MoE!$U$1</c:f>
                  <c:strCache>
                    <c:ptCount val="1"/>
                    <c:pt idx="0">
                      <c:v>PTDS 74K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MoE!$B$16:$X$16</c:f>
              <c:numCache>
                <c:formatCode>0.00</c:formatCode>
                <c:ptCount val="9"/>
                <c:pt idx="0">
                  <c:v>2.0190046678402069</c:v>
                </c:pt>
                <c:pt idx="1">
                  <c:v>4.8089363873716948</c:v>
                </c:pt>
                <c:pt idx="2">
                  <c:v>34.357959906292898</c:v>
                </c:pt>
                <c:pt idx="3">
                  <c:v>26.429602435675921</c:v>
                </c:pt>
                <c:pt idx="4">
                  <c:v>3.3834230952380957</c:v>
                </c:pt>
                <c:pt idx="5">
                  <c:v>3.6373688371466542</c:v>
                </c:pt>
                <c:pt idx="6">
                  <c:v>2.6566246889867919</c:v>
                </c:pt>
                <c:pt idx="7">
                  <c:v>95.447859659285413</c:v>
                </c:pt>
                <c:pt idx="8">
                  <c:v>2.5453899682805297</c:v>
                </c:pt>
              </c:numCache>
            </c:numRef>
          </c:xVal>
          <c:yVal>
            <c:numRef>
              <c:f>MoE!$B$15:$X$15</c:f>
              <c:numCache>
                <c:formatCode>0.000</c:formatCode>
                <c:ptCount val="9"/>
                <c:pt idx="0">
                  <c:v>0.54020088854176129</c:v>
                </c:pt>
                <c:pt idx="1">
                  <c:v>0.48500204647070866</c:v>
                </c:pt>
                <c:pt idx="2">
                  <c:v>0.7</c:v>
                </c:pt>
                <c:pt idx="3">
                  <c:v>0.84000000155431231</c:v>
                </c:pt>
                <c:pt idx="4">
                  <c:v>0.43080688026398806</c:v>
                </c:pt>
                <c:pt idx="5">
                  <c:v>0.63156002879574025</c:v>
                </c:pt>
                <c:pt idx="6">
                  <c:v>0.52301003679546199</c:v>
                </c:pt>
                <c:pt idx="7">
                  <c:v>0.7847362052359167</c:v>
                </c:pt>
                <c:pt idx="8">
                  <c:v>0.379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48896"/>
        <c:axId val="93251072"/>
      </c:scatterChart>
      <c:valAx>
        <c:axId val="93248896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Annualized</a:t>
                </a:r>
                <a:r>
                  <a:rPr lang="en-US" sz="1200" baseline="0"/>
                  <a:t> l</a:t>
                </a:r>
                <a:r>
                  <a:rPr lang="en-US" sz="1200"/>
                  <a:t>ife cycle cost ($ mil)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3251072"/>
        <c:crosses val="autoZero"/>
        <c:crossBetween val="midCat"/>
      </c:valAx>
      <c:valAx>
        <c:axId val="93251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Measure</a:t>
                </a:r>
                <a:r>
                  <a:rPr lang="en-US" sz="1200" baseline="0"/>
                  <a:t> of effectiveness</a:t>
                </a:r>
                <a:endParaRPr lang="en-US" sz="1200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3248896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Ceiling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Ceiling!$A$2:$A$12</c:f>
              <c:numCache>
                <c:formatCode>General</c:formatCode>
                <c:ptCount val="11"/>
                <c:pt idx="0">
                  <c:v>20000</c:v>
                </c:pt>
                <c:pt idx="1">
                  <c:v>23000</c:v>
                </c:pt>
                <c:pt idx="2">
                  <c:v>26000</c:v>
                </c:pt>
                <c:pt idx="3">
                  <c:v>27500</c:v>
                </c:pt>
                <c:pt idx="4">
                  <c:v>31000</c:v>
                </c:pt>
                <c:pt idx="5">
                  <c:v>33000</c:v>
                </c:pt>
                <c:pt idx="6">
                  <c:v>38000</c:v>
                </c:pt>
                <c:pt idx="7">
                  <c:v>39500</c:v>
                </c:pt>
                <c:pt idx="8">
                  <c:v>41000</c:v>
                </c:pt>
                <c:pt idx="9">
                  <c:v>45000</c:v>
                </c:pt>
                <c:pt idx="10">
                  <c:v>50000</c:v>
                </c:pt>
              </c:numCache>
            </c:numRef>
          </c:xVal>
          <c:yVal>
            <c:numRef>
              <c:f>Ceiling!$B$2:$B$12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Ceiling!$S$4:$S$105</c:f>
              <c:numCache>
                <c:formatCode>General</c:formatCode>
                <c:ptCount val="102"/>
                <c:pt idx="0">
                  <c:v>20000</c:v>
                </c:pt>
                <c:pt idx="1">
                  <c:v>20600</c:v>
                </c:pt>
                <c:pt idx="2">
                  <c:v>21200</c:v>
                </c:pt>
                <c:pt idx="3">
                  <c:v>21800</c:v>
                </c:pt>
                <c:pt idx="4">
                  <c:v>22400</c:v>
                </c:pt>
                <c:pt idx="5">
                  <c:v>23000</c:v>
                </c:pt>
                <c:pt idx="6">
                  <c:v>23600</c:v>
                </c:pt>
                <c:pt idx="7">
                  <c:v>24200</c:v>
                </c:pt>
                <c:pt idx="8">
                  <c:v>24800</c:v>
                </c:pt>
                <c:pt idx="9">
                  <c:v>25400</c:v>
                </c:pt>
                <c:pt idx="10">
                  <c:v>26000</c:v>
                </c:pt>
                <c:pt idx="11">
                  <c:v>26600</c:v>
                </c:pt>
                <c:pt idx="12">
                  <c:v>27200</c:v>
                </c:pt>
                <c:pt idx="13">
                  <c:v>27800</c:v>
                </c:pt>
                <c:pt idx="14">
                  <c:v>28400</c:v>
                </c:pt>
                <c:pt idx="15">
                  <c:v>29000</c:v>
                </c:pt>
                <c:pt idx="16">
                  <c:v>29600</c:v>
                </c:pt>
                <c:pt idx="17">
                  <c:v>30200</c:v>
                </c:pt>
                <c:pt idx="18">
                  <c:v>30800</c:v>
                </c:pt>
                <c:pt idx="19">
                  <c:v>31400</c:v>
                </c:pt>
                <c:pt idx="20">
                  <c:v>32000</c:v>
                </c:pt>
                <c:pt idx="21">
                  <c:v>32600</c:v>
                </c:pt>
                <c:pt idx="22">
                  <c:v>33200</c:v>
                </c:pt>
                <c:pt idx="23">
                  <c:v>33800</c:v>
                </c:pt>
                <c:pt idx="24">
                  <c:v>34400</c:v>
                </c:pt>
                <c:pt idx="25">
                  <c:v>35000</c:v>
                </c:pt>
                <c:pt idx="26">
                  <c:v>35600</c:v>
                </c:pt>
                <c:pt idx="27">
                  <c:v>36200</c:v>
                </c:pt>
                <c:pt idx="28">
                  <c:v>36800</c:v>
                </c:pt>
                <c:pt idx="29">
                  <c:v>37400</c:v>
                </c:pt>
                <c:pt idx="30">
                  <c:v>38000</c:v>
                </c:pt>
                <c:pt idx="31">
                  <c:v>38600</c:v>
                </c:pt>
                <c:pt idx="32">
                  <c:v>39200</c:v>
                </c:pt>
                <c:pt idx="33">
                  <c:v>39800</c:v>
                </c:pt>
                <c:pt idx="34">
                  <c:v>40400</c:v>
                </c:pt>
                <c:pt idx="35">
                  <c:v>41000</c:v>
                </c:pt>
                <c:pt idx="36">
                  <c:v>41600</c:v>
                </c:pt>
                <c:pt idx="37">
                  <c:v>42200</c:v>
                </c:pt>
                <c:pt idx="38">
                  <c:v>42800</c:v>
                </c:pt>
                <c:pt idx="39">
                  <c:v>43400</c:v>
                </c:pt>
                <c:pt idx="40">
                  <c:v>44000</c:v>
                </c:pt>
                <c:pt idx="41">
                  <c:v>44600</c:v>
                </c:pt>
                <c:pt idx="42">
                  <c:v>45200</c:v>
                </c:pt>
                <c:pt idx="43">
                  <c:v>45800</c:v>
                </c:pt>
                <c:pt idx="44">
                  <c:v>46400</c:v>
                </c:pt>
                <c:pt idx="45">
                  <c:v>47000</c:v>
                </c:pt>
                <c:pt idx="46">
                  <c:v>47600</c:v>
                </c:pt>
                <c:pt idx="47">
                  <c:v>48200</c:v>
                </c:pt>
                <c:pt idx="48">
                  <c:v>48800</c:v>
                </c:pt>
                <c:pt idx="49">
                  <c:v>49400</c:v>
                </c:pt>
                <c:pt idx="50">
                  <c:v>50000</c:v>
                </c:pt>
                <c:pt idx="51">
                  <c:v>50600</c:v>
                </c:pt>
                <c:pt idx="52">
                  <c:v>51200</c:v>
                </c:pt>
                <c:pt idx="53">
                  <c:v>51800</c:v>
                </c:pt>
                <c:pt idx="54">
                  <c:v>52400</c:v>
                </c:pt>
                <c:pt idx="55">
                  <c:v>53000</c:v>
                </c:pt>
                <c:pt idx="56">
                  <c:v>53600</c:v>
                </c:pt>
                <c:pt idx="57">
                  <c:v>54200</c:v>
                </c:pt>
                <c:pt idx="58">
                  <c:v>54800</c:v>
                </c:pt>
                <c:pt idx="59">
                  <c:v>55400</c:v>
                </c:pt>
                <c:pt idx="60">
                  <c:v>56000</c:v>
                </c:pt>
                <c:pt idx="61">
                  <c:v>56600</c:v>
                </c:pt>
                <c:pt idx="62">
                  <c:v>57200</c:v>
                </c:pt>
                <c:pt idx="63">
                  <c:v>57800</c:v>
                </c:pt>
                <c:pt idx="64">
                  <c:v>58400</c:v>
                </c:pt>
                <c:pt idx="65">
                  <c:v>59000</c:v>
                </c:pt>
                <c:pt idx="66">
                  <c:v>59600</c:v>
                </c:pt>
                <c:pt idx="67">
                  <c:v>60200</c:v>
                </c:pt>
                <c:pt idx="68">
                  <c:v>60800</c:v>
                </c:pt>
                <c:pt idx="69">
                  <c:v>61400</c:v>
                </c:pt>
                <c:pt idx="70">
                  <c:v>62000</c:v>
                </c:pt>
                <c:pt idx="71">
                  <c:v>62600</c:v>
                </c:pt>
                <c:pt idx="72">
                  <c:v>63200</c:v>
                </c:pt>
                <c:pt idx="73">
                  <c:v>63800</c:v>
                </c:pt>
                <c:pt idx="74">
                  <c:v>64400</c:v>
                </c:pt>
                <c:pt idx="75">
                  <c:v>65000</c:v>
                </c:pt>
                <c:pt idx="76">
                  <c:v>65600</c:v>
                </c:pt>
                <c:pt idx="77">
                  <c:v>66200</c:v>
                </c:pt>
                <c:pt idx="78">
                  <c:v>66800</c:v>
                </c:pt>
                <c:pt idx="79">
                  <c:v>67400</c:v>
                </c:pt>
                <c:pt idx="80">
                  <c:v>68000</c:v>
                </c:pt>
                <c:pt idx="81">
                  <c:v>68600</c:v>
                </c:pt>
                <c:pt idx="82">
                  <c:v>69200</c:v>
                </c:pt>
                <c:pt idx="83">
                  <c:v>69800</c:v>
                </c:pt>
                <c:pt idx="84">
                  <c:v>70400</c:v>
                </c:pt>
                <c:pt idx="85">
                  <c:v>71000</c:v>
                </c:pt>
                <c:pt idx="86">
                  <c:v>71600</c:v>
                </c:pt>
                <c:pt idx="87">
                  <c:v>72200</c:v>
                </c:pt>
                <c:pt idx="88">
                  <c:v>72800</c:v>
                </c:pt>
                <c:pt idx="89">
                  <c:v>73400</c:v>
                </c:pt>
                <c:pt idx="90">
                  <c:v>74000</c:v>
                </c:pt>
                <c:pt idx="91">
                  <c:v>74600</c:v>
                </c:pt>
                <c:pt idx="92">
                  <c:v>75200</c:v>
                </c:pt>
                <c:pt idx="93">
                  <c:v>75800</c:v>
                </c:pt>
                <c:pt idx="94">
                  <c:v>76400</c:v>
                </c:pt>
                <c:pt idx="95">
                  <c:v>77000</c:v>
                </c:pt>
                <c:pt idx="96">
                  <c:v>77600</c:v>
                </c:pt>
                <c:pt idx="97">
                  <c:v>78200</c:v>
                </c:pt>
                <c:pt idx="98">
                  <c:v>78800</c:v>
                </c:pt>
                <c:pt idx="99">
                  <c:v>79400</c:v>
                </c:pt>
                <c:pt idx="100">
                  <c:v>80000</c:v>
                </c:pt>
                <c:pt idx="101">
                  <c:v>80600</c:v>
                </c:pt>
              </c:numCache>
            </c:numRef>
          </c:xVal>
          <c:yVal>
            <c:numRef>
              <c:f>Ceiling!$T$4:$T$105</c:f>
              <c:numCache>
                <c:formatCode>General</c:formatCode>
                <c:ptCount val="102"/>
                <c:pt idx="0">
                  <c:v>0</c:v>
                </c:pt>
                <c:pt idx="1">
                  <c:v>4.6449880538904122E-2</c:v>
                </c:pt>
                <c:pt idx="2">
                  <c:v>9.1766584060012577E-2</c:v>
                </c:pt>
                <c:pt idx="3">
                  <c:v>0.13546281972781399</c:v>
                </c:pt>
                <c:pt idx="4">
                  <c:v>0.17748560307975358</c:v>
                </c:pt>
                <c:pt idx="5">
                  <c:v>0.21784631947851357</c:v>
                </c:pt>
                <c:pt idx="6">
                  <c:v>0.25657974573888259</c:v>
                </c:pt>
                <c:pt idx="7">
                  <c:v>0.293731131611698</c:v>
                </c:pt>
                <c:pt idx="8">
                  <c:v>0.32935071780851671</c:v>
                </c:pt>
                <c:pt idx="9">
                  <c:v>0.36349099954507247</c:v>
                </c:pt>
                <c:pt idx="10">
                  <c:v>0.39620521476746223</c:v>
                </c:pt>
                <c:pt idx="11">
                  <c:v>0.42754645171373251</c:v>
                </c:pt>
                <c:pt idx="12">
                  <c:v>0.45756709913087884</c:v>
                </c:pt>
                <c:pt idx="13">
                  <c:v>0.48631849927268994</c:v>
                </c:pt>
                <c:pt idx="14">
                  <c:v>0.51385072728695891</c:v>
                </c:pt>
                <c:pt idx="15">
                  <c:v>0.540212452637994</c:v>
                </c:pt>
                <c:pt idx="16">
                  <c:v>0.56545085549946938</c:v>
                </c:pt>
                <c:pt idx="17">
                  <c:v>0.58961158090981292</c:v>
                </c:pt>
                <c:pt idx="18">
                  <c:v>0.61273871936643265</c:v>
                </c:pt>
                <c:pt idx="19">
                  <c:v>0.63487480618710845</c:v>
                </c:pt>
                <c:pt idx="20">
                  <c:v>0.65606083431091522</c:v>
                </c:pt>
                <c:pt idx="21">
                  <c:v>0.67633627675981534</c:v>
                </c:pt>
                <c:pt idx="22">
                  <c:v>0.69573911603198957</c:v>
                </c:pt>
                <c:pt idx="23">
                  <c:v>0.7143058784257279</c:v>
                </c:pt>
                <c:pt idx="24">
                  <c:v>0.73207167180735744</c:v>
                </c:pt>
                <c:pt idx="25">
                  <c:v>0.74907022570712267</c:v>
                </c:pt>
                <c:pt idx="26">
                  <c:v>0.76533393289778606</c:v>
                </c:pt>
                <c:pt idx="27">
                  <c:v>0.78089389181157454</c:v>
                </c:pt>
                <c:pt idx="28">
                  <c:v>0.79577994930192453</c:v>
                </c:pt>
                <c:pt idx="29">
                  <c:v>0.81002074337102525</c:v>
                </c:pt>
                <c:pt idx="30">
                  <c:v>0.82364374557199593</c:v>
                </c:pt>
                <c:pt idx="31">
                  <c:v>0.83667530286252012</c:v>
                </c:pt>
                <c:pt idx="32">
                  <c:v>0.84914067873976029</c:v>
                </c:pt>
                <c:pt idx="33">
                  <c:v>0.86106409352798929</c:v>
                </c:pt>
                <c:pt idx="34">
                  <c:v>0.87246876372322291</c:v>
                </c:pt>
                <c:pt idx="35">
                  <c:v>0.88337694032520431</c:v>
                </c:pt>
                <c:pt idx="36">
                  <c:v>0.89380994610785469</c:v>
                </c:pt>
                <c:pt idx="37">
                  <c:v>0.90378821179585778</c:v>
                </c:pt>
                <c:pt idx="38">
                  <c:v>0.91333131112833466</c:v>
                </c:pt>
                <c:pt idx="39">
                  <c:v>0.9224579948011451</c:v>
                </c:pt>
                <c:pt idx="40">
                  <c:v>0.93118622328789347</c:v>
                </c:pt>
                <c:pt idx="41">
                  <c:v>0.93953319854645434</c:v>
                </c:pt>
                <c:pt idx="42">
                  <c:v>0.94751539462326184</c:v>
                </c:pt>
                <c:pt idx="43">
                  <c:v>0.9551485871718729</c:v>
                </c:pt>
                <c:pt idx="44">
                  <c:v>0.96244788190566433</c:v>
                </c:pt>
                <c:pt idx="45">
                  <c:v>0.96942774200712278</c:v>
                </c:pt>
                <c:pt idx="46">
                  <c:v>0.97610201451818457</c:v>
                </c:pt>
                <c:pt idx="47">
                  <c:v>0.9824839557375431</c:v>
                </c:pt>
                <c:pt idx="48">
                  <c:v>0.98858625565191238</c:v>
                </c:pt>
                <c:pt idx="49">
                  <c:v>0.99442106142895415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21216"/>
        <c:axId val="130994560"/>
      </c:scatterChart>
      <c:valAx>
        <c:axId val="129321216"/>
        <c:scaling>
          <c:orientation val="minMax"/>
          <c:max val="70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Feet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994560"/>
        <c:crosses val="autoZero"/>
        <c:crossBetween val="midCat"/>
      </c:valAx>
      <c:valAx>
        <c:axId val="1309945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9321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Endurance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Endurance!$A$2:$A$12</c:f>
              <c:numCache>
                <c:formatCode>General</c:formatCode>
                <c:ptCount val="11"/>
                <c:pt idx="0">
                  <c:v>5</c:v>
                </c:pt>
                <c:pt idx="1">
                  <c:v>5.8</c:v>
                </c:pt>
                <c:pt idx="2">
                  <c:v>6.6</c:v>
                </c:pt>
                <c:pt idx="3">
                  <c:v>7</c:v>
                </c:pt>
                <c:pt idx="4">
                  <c:v>7.4</c:v>
                </c:pt>
                <c:pt idx="5">
                  <c:v>7.8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</c:numCache>
            </c:numRef>
          </c:xVal>
          <c:yVal>
            <c:numRef>
              <c:f>Endurance!$B$2:$B$12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Endurance!$S$4:$S$105</c:f>
              <c:numCache>
                <c:formatCode>General</c:formatCode>
                <c:ptCount val="102"/>
                <c:pt idx="0">
                  <c:v>5</c:v>
                </c:pt>
                <c:pt idx="1">
                  <c:v>5.08</c:v>
                </c:pt>
                <c:pt idx="2">
                  <c:v>5.16</c:v>
                </c:pt>
                <c:pt idx="3">
                  <c:v>5.24</c:v>
                </c:pt>
                <c:pt idx="4">
                  <c:v>5.32</c:v>
                </c:pt>
                <c:pt idx="5">
                  <c:v>5.4</c:v>
                </c:pt>
                <c:pt idx="6">
                  <c:v>5.48</c:v>
                </c:pt>
                <c:pt idx="7">
                  <c:v>5.5600000000000005</c:v>
                </c:pt>
                <c:pt idx="8">
                  <c:v>5.6400000000000006</c:v>
                </c:pt>
                <c:pt idx="9">
                  <c:v>5.7200000000000006</c:v>
                </c:pt>
                <c:pt idx="10">
                  <c:v>5.8000000000000007</c:v>
                </c:pt>
                <c:pt idx="11">
                  <c:v>5.8800000000000008</c:v>
                </c:pt>
                <c:pt idx="12">
                  <c:v>5.9600000000000009</c:v>
                </c:pt>
                <c:pt idx="13">
                  <c:v>6.0400000000000009</c:v>
                </c:pt>
                <c:pt idx="14">
                  <c:v>6.120000000000001</c:v>
                </c:pt>
                <c:pt idx="15">
                  <c:v>6.2000000000000011</c:v>
                </c:pt>
                <c:pt idx="16">
                  <c:v>6.2800000000000011</c:v>
                </c:pt>
                <c:pt idx="17">
                  <c:v>6.3600000000000012</c:v>
                </c:pt>
                <c:pt idx="18">
                  <c:v>6.4400000000000013</c:v>
                </c:pt>
                <c:pt idx="19">
                  <c:v>6.5200000000000014</c:v>
                </c:pt>
                <c:pt idx="20">
                  <c:v>6.6000000000000014</c:v>
                </c:pt>
                <c:pt idx="21">
                  <c:v>6.6800000000000015</c:v>
                </c:pt>
                <c:pt idx="22">
                  <c:v>6.7600000000000016</c:v>
                </c:pt>
                <c:pt idx="23">
                  <c:v>6.8400000000000016</c:v>
                </c:pt>
                <c:pt idx="24">
                  <c:v>6.9200000000000017</c:v>
                </c:pt>
                <c:pt idx="25">
                  <c:v>7.0000000000000018</c:v>
                </c:pt>
                <c:pt idx="26">
                  <c:v>7.0800000000000018</c:v>
                </c:pt>
                <c:pt idx="27">
                  <c:v>7.1600000000000019</c:v>
                </c:pt>
                <c:pt idx="28">
                  <c:v>7.240000000000002</c:v>
                </c:pt>
                <c:pt idx="29">
                  <c:v>7.3200000000000021</c:v>
                </c:pt>
                <c:pt idx="30">
                  <c:v>7.4000000000000021</c:v>
                </c:pt>
                <c:pt idx="31">
                  <c:v>7.4800000000000022</c:v>
                </c:pt>
                <c:pt idx="32">
                  <c:v>7.5600000000000023</c:v>
                </c:pt>
                <c:pt idx="33">
                  <c:v>7.6400000000000023</c:v>
                </c:pt>
                <c:pt idx="34">
                  <c:v>7.7200000000000024</c:v>
                </c:pt>
                <c:pt idx="35">
                  <c:v>7.8000000000000025</c:v>
                </c:pt>
                <c:pt idx="36">
                  <c:v>7.8800000000000026</c:v>
                </c:pt>
                <c:pt idx="37">
                  <c:v>7.9600000000000026</c:v>
                </c:pt>
                <c:pt idx="38">
                  <c:v>8.0400000000000027</c:v>
                </c:pt>
                <c:pt idx="39">
                  <c:v>8.1200000000000028</c:v>
                </c:pt>
                <c:pt idx="40">
                  <c:v>8.2000000000000028</c:v>
                </c:pt>
                <c:pt idx="41">
                  <c:v>8.2800000000000029</c:v>
                </c:pt>
                <c:pt idx="42">
                  <c:v>8.360000000000003</c:v>
                </c:pt>
                <c:pt idx="43">
                  <c:v>8.4400000000000031</c:v>
                </c:pt>
                <c:pt idx="44">
                  <c:v>8.5200000000000031</c:v>
                </c:pt>
                <c:pt idx="45">
                  <c:v>8.6000000000000032</c:v>
                </c:pt>
                <c:pt idx="46">
                  <c:v>8.6800000000000033</c:v>
                </c:pt>
                <c:pt idx="47">
                  <c:v>8.7600000000000033</c:v>
                </c:pt>
                <c:pt idx="48">
                  <c:v>8.8400000000000034</c:v>
                </c:pt>
                <c:pt idx="49">
                  <c:v>8.9200000000000035</c:v>
                </c:pt>
                <c:pt idx="50">
                  <c:v>9.0000000000000036</c:v>
                </c:pt>
                <c:pt idx="51">
                  <c:v>9.0800000000000036</c:v>
                </c:pt>
                <c:pt idx="52">
                  <c:v>9.1600000000000037</c:v>
                </c:pt>
                <c:pt idx="53">
                  <c:v>9.2400000000000038</c:v>
                </c:pt>
                <c:pt idx="54">
                  <c:v>9.3200000000000038</c:v>
                </c:pt>
                <c:pt idx="55">
                  <c:v>9.4000000000000039</c:v>
                </c:pt>
                <c:pt idx="56">
                  <c:v>9.480000000000004</c:v>
                </c:pt>
                <c:pt idx="57">
                  <c:v>9.5600000000000041</c:v>
                </c:pt>
                <c:pt idx="58">
                  <c:v>9.6400000000000041</c:v>
                </c:pt>
                <c:pt idx="59">
                  <c:v>9.7200000000000042</c:v>
                </c:pt>
                <c:pt idx="60">
                  <c:v>9.8000000000000043</c:v>
                </c:pt>
                <c:pt idx="61">
                  <c:v>9.8800000000000043</c:v>
                </c:pt>
                <c:pt idx="62">
                  <c:v>9.9600000000000044</c:v>
                </c:pt>
                <c:pt idx="63">
                  <c:v>10.040000000000004</c:v>
                </c:pt>
                <c:pt idx="64">
                  <c:v>10.120000000000005</c:v>
                </c:pt>
                <c:pt idx="65">
                  <c:v>10.200000000000005</c:v>
                </c:pt>
                <c:pt idx="66">
                  <c:v>10.280000000000005</c:v>
                </c:pt>
                <c:pt idx="67">
                  <c:v>10.360000000000005</c:v>
                </c:pt>
                <c:pt idx="68">
                  <c:v>10.440000000000005</c:v>
                </c:pt>
                <c:pt idx="69">
                  <c:v>10.520000000000005</c:v>
                </c:pt>
                <c:pt idx="70">
                  <c:v>10.600000000000005</c:v>
                </c:pt>
                <c:pt idx="71">
                  <c:v>10.680000000000005</c:v>
                </c:pt>
                <c:pt idx="72">
                  <c:v>10.760000000000005</c:v>
                </c:pt>
                <c:pt idx="73">
                  <c:v>10.840000000000005</c:v>
                </c:pt>
                <c:pt idx="74">
                  <c:v>10.920000000000005</c:v>
                </c:pt>
                <c:pt idx="75">
                  <c:v>11.000000000000005</c:v>
                </c:pt>
                <c:pt idx="76">
                  <c:v>11.080000000000005</c:v>
                </c:pt>
                <c:pt idx="77">
                  <c:v>11.160000000000005</c:v>
                </c:pt>
                <c:pt idx="78">
                  <c:v>11.240000000000006</c:v>
                </c:pt>
                <c:pt idx="79">
                  <c:v>11.320000000000006</c:v>
                </c:pt>
                <c:pt idx="80">
                  <c:v>11.400000000000006</c:v>
                </c:pt>
                <c:pt idx="81">
                  <c:v>11.480000000000006</c:v>
                </c:pt>
                <c:pt idx="82">
                  <c:v>11.560000000000006</c:v>
                </c:pt>
                <c:pt idx="83">
                  <c:v>11.640000000000006</c:v>
                </c:pt>
                <c:pt idx="84">
                  <c:v>11.720000000000006</c:v>
                </c:pt>
                <c:pt idx="85">
                  <c:v>11.800000000000006</c:v>
                </c:pt>
                <c:pt idx="86">
                  <c:v>11.880000000000006</c:v>
                </c:pt>
                <c:pt idx="87">
                  <c:v>11.960000000000006</c:v>
                </c:pt>
                <c:pt idx="88">
                  <c:v>12.040000000000006</c:v>
                </c:pt>
                <c:pt idx="89">
                  <c:v>12.120000000000006</c:v>
                </c:pt>
                <c:pt idx="90">
                  <c:v>12.200000000000006</c:v>
                </c:pt>
                <c:pt idx="91">
                  <c:v>12.280000000000006</c:v>
                </c:pt>
                <c:pt idx="92">
                  <c:v>12.360000000000007</c:v>
                </c:pt>
                <c:pt idx="93">
                  <c:v>12.440000000000007</c:v>
                </c:pt>
                <c:pt idx="94">
                  <c:v>12.520000000000007</c:v>
                </c:pt>
                <c:pt idx="95">
                  <c:v>12.600000000000007</c:v>
                </c:pt>
                <c:pt idx="96">
                  <c:v>12.680000000000007</c:v>
                </c:pt>
                <c:pt idx="97">
                  <c:v>12.760000000000007</c:v>
                </c:pt>
                <c:pt idx="98">
                  <c:v>12.840000000000007</c:v>
                </c:pt>
                <c:pt idx="99">
                  <c:v>12.920000000000007</c:v>
                </c:pt>
                <c:pt idx="100">
                  <c:v>13.000000000000007</c:v>
                </c:pt>
                <c:pt idx="101">
                  <c:v>13.080000000000007</c:v>
                </c:pt>
              </c:numCache>
            </c:numRef>
          </c:xVal>
          <c:yVal>
            <c:numRef>
              <c:f>Endurance!$T$4:$T$105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2.0000001221245303E-2</c:v>
                </c:pt>
                <c:pt idx="2">
                  <c:v>3.9999996891375601E-2</c:v>
                </c:pt>
                <c:pt idx="3">
                  <c:v>5.9999998112620904E-2</c:v>
                </c:pt>
                <c:pt idx="4">
                  <c:v>7.9999999333866201E-2</c:v>
                </c:pt>
                <c:pt idx="5">
                  <c:v>0.1000000005551115</c:v>
                </c:pt>
                <c:pt idx="6">
                  <c:v>0.11999999622524181</c:v>
                </c:pt>
                <c:pt idx="7">
                  <c:v>0.13999999744648711</c:v>
                </c:pt>
                <c:pt idx="8">
                  <c:v>0.1599999986677324</c:v>
                </c:pt>
                <c:pt idx="9">
                  <c:v>0.17999999433786271</c:v>
                </c:pt>
                <c:pt idx="10">
                  <c:v>0.19999999555910802</c:v>
                </c:pt>
                <c:pt idx="11">
                  <c:v>0.21999999678035331</c:v>
                </c:pt>
                <c:pt idx="12">
                  <c:v>0.23999999800159863</c:v>
                </c:pt>
                <c:pt idx="13">
                  <c:v>0.25999999367172894</c:v>
                </c:pt>
                <c:pt idx="14">
                  <c:v>0.27999999489297422</c:v>
                </c:pt>
                <c:pt idx="15">
                  <c:v>0.29999999611421951</c:v>
                </c:pt>
                <c:pt idx="16">
                  <c:v>0.3199999973354648</c:v>
                </c:pt>
                <c:pt idx="17">
                  <c:v>0.33999999300559514</c:v>
                </c:pt>
                <c:pt idx="18">
                  <c:v>0.35999999422684043</c:v>
                </c:pt>
                <c:pt idx="19">
                  <c:v>0.37999999544808571</c:v>
                </c:pt>
                <c:pt idx="20">
                  <c:v>0.399999996669331</c:v>
                </c:pt>
                <c:pt idx="21">
                  <c:v>0.41999999233946134</c:v>
                </c:pt>
                <c:pt idx="22">
                  <c:v>0.43999999356070663</c:v>
                </c:pt>
                <c:pt idx="23">
                  <c:v>0.45999999478195192</c:v>
                </c:pt>
                <c:pt idx="24">
                  <c:v>0.47999999600319726</c:v>
                </c:pt>
                <c:pt idx="25">
                  <c:v>0.49999999167332754</c:v>
                </c:pt>
                <c:pt idx="26">
                  <c:v>0.51999999289457288</c:v>
                </c:pt>
                <c:pt idx="27">
                  <c:v>0.53999999411581812</c:v>
                </c:pt>
                <c:pt idx="28">
                  <c:v>0.55999999533706346</c:v>
                </c:pt>
                <c:pt idx="29">
                  <c:v>0.57999999655830869</c:v>
                </c:pt>
                <c:pt idx="30">
                  <c:v>0.59999999222843903</c:v>
                </c:pt>
                <c:pt idx="31">
                  <c:v>0.61999999344968437</c:v>
                </c:pt>
                <c:pt idx="32">
                  <c:v>0.63999999467092961</c:v>
                </c:pt>
                <c:pt idx="33">
                  <c:v>0.65999999589217495</c:v>
                </c:pt>
                <c:pt idx="34">
                  <c:v>0.6799999971134203</c:v>
                </c:pt>
                <c:pt idx="35">
                  <c:v>0.69999999278355052</c:v>
                </c:pt>
                <c:pt idx="36">
                  <c:v>0.71999999400479586</c:v>
                </c:pt>
                <c:pt idx="37">
                  <c:v>0.7399999952260411</c:v>
                </c:pt>
                <c:pt idx="38">
                  <c:v>0.75999999644728644</c:v>
                </c:pt>
                <c:pt idx="39">
                  <c:v>0.77999999766853179</c:v>
                </c:pt>
                <c:pt idx="40">
                  <c:v>0.79999999333866201</c:v>
                </c:pt>
                <c:pt idx="41">
                  <c:v>0.81999999455990735</c:v>
                </c:pt>
                <c:pt idx="42">
                  <c:v>0.8399999957811527</c:v>
                </c:pt>
                <c:pt idx="43">
                  <c:v>0.85999999700239793</c:v>
                </c:pt>
                <c:pt idx="44">
                  <c:v>0.87999999822364328</c:v>
                </c:pt>
                <c:pt idx="45">
                  <c:v>0.89999999944488851</c:v>
                </c:pt>
                <c:pt idx="46">
                  <c:v>0.91999999511501884</c:v>
                </c:pt>
                <c:pt idx="47">
                  <c:v>0.93999999633626419</c:v>
                </c:pt>
                <c:pt idx="48">
                  <c:v>0.95999999755750942</c:v>
                </c:pt>
                <c:pt idx="49">
                  <c:v>0.97999999877875477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65216"/>
        <c:axId val="131467136"/>
      </c:scatterChart>
      <c:valAx>
        <c:axId val="131465216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467136"/>
        <c:crosses val="autoZero"/>
        <c:crossBetween val="midCat"/>
      </c:valAx>
      <c:valAx>
        <c:axId val="1314671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465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Range 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Range!$A$2:$A$12</c:f>
              <c:numCache>
                <c:formatCode>General</c:formatCode>
                <c:ptCount val="11"/>
                <c:pt idx="0">
                  <c:v>150</c:v>
                </c:pt>
                <c:pt idx="1">
                  <c:v>160</c:v>
                </c:pt>
                <c:pt idx="2">
                  <c:v>170</c:v>
                </c:pt>
                <c:pt idx="3">
                  <c:v>200</c:v>
                </c:pt>
                <c:pt idx="4">
                  <c:v>210</c:v>
                </c:pt>
                <c:pt idx="5">
                  <c:v>225</c:v>
                </c:pt>
                <c:pt idx="6">
                  <c:v>240</c:v>
                </c:pt>
                <c:pt idx="7">
                  <c:v>255</c:v>
                </c:pt>
                <c:pt idx="8">
                  <c:v>260</c:v>
                </c:pt>
                <c:pt idx="9">
                  <c:v>295</c:v>
                </c:pt>
                <c:pt idx="10">
                  <c:v>350</c:v>
                </c:pt>
              </c:numCache>
            </c:numRef>
          </c:xVal>
          <c:yVal>
            <c:numRef>
              <c:f>Range!$B$2:$B$12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Range!$S$4:$S$105</c:f>
              <c:numCache>
                <c:formatCode>General</c:formatCode>
                <c:ptCount val="102"/>
                <c:pt idx="0">
                  <c:v>150</c:v>
                </c:pt>
                <c:pt idx="1">
                  <c:v>154</c:v>
                </c:pt>
                <c:pt idx="2">
                  <c:v>158</c:v>
                </c:pt>
                <c:pt idx="3">
                  <c:v>162</c:v>
                </c:pt>
                <c:pt idx="4">
                  <c:v>166</c:v>
                </c:pt>
                <c:pt idx="5">
                  <c:v>170</c:v>
                </c:pt>
                <c:pt idx="6">
                  <c:v>174</c:v>
                </c:pt>
                <c:pt idx="7">
                  <c:v>178</c:v>
                </c:pt>
                <c:pt idx="8">
                  <c:v>182</c:v>
                </c:pt>
                <c:pt idx="9">
                  <c:v>186</c:v>
                </c:pt>
                <c:pt idx="10">
                  <c:v>190</c:v>
                </c:pt>
                <c:pt idx="11">
                  <c:v>194</c:v>
                </c:pt>
                <c:pt idx="12">
                  <c:v>198</c:v>
                </c:pt>
                <c:pt idx="13">
                  <c:v>202</c:v>
                </c:pt>
                <c:pt idx="14">
                  <c:v>206</c:v>
                </c:pt>
                <c:pt idx="15">
                  <c:v>210</c:v>
                </c:pt>
                <c:pt idx="16">
                  <c:v>214</c:v>
                </c:pt>
                <c:pt idx="17">
                  <c:v>218</c:v>
                </c:pt>
                <c:pt idx="18">
                  <c:v>222</c:v>
                </c:pt>
                <c:pt idx="19">
                  <c:v>226</c:v>
                </c:pt>
                <c:pt idx="20">
                  <c:v>230</c:v>
                </c:pt>
                <c:pt idx="21">
                  <c:v>234</c:v>
                </c:pt>
                <c:pt idx="22">
                  <c:v>238</c:v>
                </c:pt>
                <c:pt idx="23">
                  <c:v>242</c:v>
                </c:pt>
                <c:pt idx="24">
                  <c:v>246</c:v>
                </c:pt>
                <c:pt idx="25">
                  <c:v>250</c:v>
                </c:pt>
                <c:pt idx="26">
                  <c:v>254</c:v>
                </c:pt>
                <c:pt idx="27">
                  <c:v>258</c:v>
                </c:pt>
                <c:pt idx="28">
                  <c:v>262</c:v>
                </c:pt>
                <c:pt idx="29">
                  <c:v>266</c:v>
                </c:pt>
                <c:pt idx="30">
                  <c:v>270</c:v>
                </c:pt>
                <c:pt idx="31">
                  <c:v>274</c:v>
                </c:pt>
                <c:pt idx="32">
                  <c:v>278</c:v>
                </c:pt>
                <c:pt idx="33">
                  <c:v>282</c:v>
                </c:pt>
                <c:pt idx="34">
                  <c:v>286</c:v>
                </c:pt>
                <c:pt idx="35">
                  <c:v>290</c:v>
                </c:pt>
                <c:pt idx="36">
                  <c:v>294</c:v>
                </c:pt>
                <c:pt idx="37">
                  <c:v>298</c:v>
                </c:pt>
                <c:pt idx="38">
                  <c:v>302</c:v>
                </c:pt>
                <c:pt idx="39">
                  <c:v>306</c:v>
                </c:pt>
                <c:pt idx="40">
                  <c:v>310</c:v>
                </c:pt>
                <c:pt idx="41">
                  <c:v>314</c:v>
                </c:pt>
                <c:pt idx="42">
                  <c:v>318</c:v>
                </c:pt>
                <c:pt idx="43">
                  <c:v>322</c:v>
                </c:pt>
                <c:pt idx="44">
                  <c:v>326</c:v>
                </c:pt>
                <c:pt idx="45">
                  <c:v>330</c:v>
                </c:pt>
                <c:pt idx="46">
                  <c:v>334</c:v>
                </c:pt>
                <c:pt idx="47">
                  <c:v>338</c:v>
                </c:pt>
                <c:pt idx="48">
                  <c:v>342</c:v>
                </c:pt>
                <c:pt idx="49">
                  <c:v>346</c:v>
                </c:pt>
                <c:pt idx="50">
                  <c:v>350</c:v>
                </c:pt>
                <c:pt idx="51">
                  <c:v>354</c:v>
                </c:pt>
                <c:pt idx="52">
                  <c:v>358</c:v>
                </c:pt>
                <c:pt idx="53">
                  <c:v>362</c:v>
                </c:pt>
                <c:pt idx="54">
                  <c:v>366</c:v>
                </c:pt>
                <c:pt idx="55">
                  <c:v>370</c:v>
                </c:pt>
                <c:pt idx="56">
                  <c:v>374</c:v>
                </c:pt>
                <c:pt idx="57">
                  <c:v>378</c:v>
                </c:pt>
                <c:pt idx="58">
                  <c:v>382</c:v>
                </c:pt>
                <c:pt idx="59">
                  <c:v>386</c:v>
                </c:pt>
                <c:pt idx="60">
                  <c:v>390</c:v>
                </c:pt>
                <c:pt idx="61">
                  <c:v>394</c:v>
                </c:pt>
                <c:pt idx="62">
                  <c:v>398</c:v>
                </c:pt>
                <c:pt idx="63">
                  <c:v>402</c:v>
                </c:pt>
                <c:pt idx="64">
                  <c:v>406</c:v>
                </c:pt>
                <c:pt idx="65">
                  <c:v>410</c:v>
                </c:pt>
                <c:pt idx="66">
                  <c:v>414</c:v>
                </c:pt>
                <c:pt idx="67">
                  <c:v>418</c:v>
                </c:pt>
                <c:pt idx="68">
                  <c:v>422</c:v>
                </c:pt>
                <c:pt idx="69">
                  <c:v>426</c:v>
                </c:pt>
                <c:pt idx="70">
                  <c:v>430</c:v>
                </c:pt>
                <c:pt idx="71">
                  <c:v>434</c:v>
                </c:pt>
                <c:pt idx="72">
                  <c:v>438</c:v>
                </c:pt>
                <c:pt idx="73">
                  <c:v>442</c:v>
                </c:pt>
                <c:pt idx="74">
                  <c:v>446</c:v>
                </c:pt>
                <c:pt idx="75">
                  <c:v>450</c:v>
                </c:pt>
                <c:pt idx="76">
                  <c:v>454</c:v>
                </c:pt>
                <c:pt idx="77">
                  <c:v>458</c:v>
                </c:pt>
                <c:pt idx="78">
                  <c:v>462</c:v>
                </c:pt>
                <c:pt idx="79">
                  <c:v>466</c:v>
                </c:pt>
                <c:pt idx="80">
                  <c:v>470</c:v>
                </c:pt>
                <c:pt idx="81">
                  <c:v>474</c:v>
                </c:pt>
                <c:pt idx="82">
                  <c:v>478</c:v>
                </c:pt>
                <c:pt idx="83">
                  <c:v>482</c:v>
                </c:pt>
                <c:pt idx="84">
                  <c:v>486</c:v>
                </c:pt>
                <c:pt idx="85">
                  <c:v>490</c:v>
                </c:pt>
                <c:pt idx="86">
                  <c:v>494</c:v>
                </c:pt>
                <c:pt idx="87">
                  <c:v>498</c:v>
                </c:pt>
                <c:pt idx="88">
                  <c:v>502</c:v>
                </c:pt>
                <c:pt idx="89">
                  <c:v>506</c:v>
                </c:pt>
                <c:pt idx="90">
                  <c:v>510</c:v>
                </c:pt>
                <c:pt idx="91">
                  <c:v>514</c:v>
                </c:pt>
                <c:pt idx="92">
                  <c:v>518</c:v>
                </c:pt>
                <c:pt idx="93">
                  <c:v>522</c:v>
                </c:pt>
                <c:pt idx="94">
                  <c:v>526</c:v>
                </c:pt>
                <c:pt idx="95">
                  <c:v>530</c:v>
                </c:pt>
                <c:pt idx="96">
                  <c:v>534</c:v>
                </c:pt>
                <c:pt idx="97">
                  <c:v>538</c:v>
                </c:pt>
                <c:pt idx="98">
                  <c:v>542</c:v>
                </c:pt>
                <c:pt idx="99">
                  <c:v>546</c:v>
                </c:pt>
                <c:pt idx="100">
                  <c:v>550</c:v>
                </c:pt>
                <c:pt idx="101">
                  <c:v>554</c:v>
                </c:pt>
              </c:numCache>
            </c:numRef>
          </c:xVal>
          <c:yVal>
            <c:numRef>
              <c:f>Range!$T$4:$T$105</c:f>
              <c:numCache>
                <c:formatCode>General</c:formatCode>
                <c:ptCount val="102"/>
                <c:pt idx="0">
                  <c:v>0</c:v>
                </c:pt>
                <c:pt idx="1">
                  <c:v>0.1004744355239643</c:v>
                </c:pt>
                <c:pt idx="2">
                  <c:v>0.1707705312357877</c:v>
                </c:pt>
                <c:pt idx="3">
                  <c:v>0.23034360858717845</c:v>
                </c:pt>
                <c:pt idx="4">
                  <c:v>0.2828568389910977</c:v>
                </c:pt>
                <c:pt idx="5">
                  <c:v>0.33005735002348052</c:v>
                </c:pt>
                <c:pt idx="6">
                  <c:v>0.37299167789759291</c:v>
                </c:pt>
                <c:pt idx="7">
                  <c:v>0.41236590475225887</c:v>
                </c:pt>
                <c:pt idx="8">
                  <c:v>0.44869289771608123</c:v>
                </c:pt>
                <c:pt idx="9">
                  <c:v>0.48236435758810969</c:v>
                </c:pt>
                <c:pt idx="10">
                  <c:v>0.51369048538843232</c:v>
                </c:pt>
                <c:pt idx="11">
                  <c:v>0.5429237381183335</c:v>
                </c:pt>
                <c:pt idx="12">
                  <c:v>0.57027398675194896</c:v>
                </c:pt>
                <c:pt idx="13">
                  <c:v>0.5959186797796604</c:v>
                </c:pt>
                <c:pt idx="14">
                  <c:v>0.62000993518177838</c:v>
                </c:pt>
                <c:pt idx="15">
                  <c:v>0.64267965401749594</c:v>
                </c:pt>
                <c:pt idx="16">
                  <c:v>0.66404331002643624</c:v>
                </c:pt>
                <c:pt idx="17">
                  <c:v>0.68420282415644862</c:v>
                </c:pt>
                <c:pt idx="18">
                  <c:v>0.70324878898504817</c:v>
                </c:pt>
                <c:pt idx="19">
                  <c:v>0.72126222015901387</c:v>
                </c:pt>
                <c:pt idx="20">
                  <c:v>0.73831595649840676</c:v>
                </c:pt>
                <c:pt idx="21">
                  <c:v>0.75447579431077649</c:v>
                </c:pt>
                <c:pt idx="22">
                  <c:v>0.76980141734555207</c:v>
                </c:pt>
                <c:pt idx="23">
                  <c:v>0.78434716732994669</c:v>
                </c:pt>
                <c:pt idx="24">
                  <c:v>0.79816268851763972</c:v>
                </c:pt>
                <c:pt idx="25">
                  <c:v>0.8112934714957416</c:v>
                </c:pt>
                <c:pt idx="26">
                  <c:v>0.8237813155752528</c:v>
                </c:pt>
                <c:pt idx="27">
                  <c:v>0.83566472474255948</c:v>
                </c:pt>
                <c:pt idx="28">
                  <c:v>0.84697924891195164</c:v>
                </c:pt>
                <c:pt idx="29">
                  <c:v>0.85775777977740109</c:v>
                </c:pt>
                <c:pt idx="30">
                  <c:v>0.8680308086985199</c:v>
                </c:pt>
                <c:pt idx="31">
                  <c:v>0.87782665261834436</c:v>
                </c:pt>
                <c:pt idx="32">
                  <c:v>0.88717165289077171</c:v>
                </c:pt>
                <c:pt idx="33">
                  <c:v>0.89609035101489964</c:v>
                </c:pt>
                <c:pt idx="34">
                  <c:v>0.90460564457506332</c:v>
                </c:pt>
                <c:pt idx="35">
                  <c:v>0.91273892612692087</c:v>
                </c:pt>
                <c:pt idx="36">
                  <c:v>0.92051020732004463</c:v>
                </c:pt>
                <c:pt idx="37">
                  <c:v>0.92793823018248711</c:v>
                </c:pt>
                <c:pt idx="38">
                  <c:v>0.9350405671947476</c:v>
                </c:pt>
                <c:pt idx="39">
                  <c:v>0.94183371153561313</c:v>
                </c:pt>
                <c:pt idx="40">
                  <c:v>0.9483331586799314</c:v>
                </c:pt>
                <c:pt idx="41">
                  <c:v>0.95455348036010379</c:v>
                </c:pt>
                <c:pt idx="42">
                  <c:v>0.96050839176252467</c:v>
                </c:pt>
                <c:pt idx="43">
                  <c:v>0.96621081271218801</c:v>
                </c:pt>
                <c:pt idx="44">
                  <c:v>0.97167292349911494</c:v>
                </c:pt>
                <c:pt idx="45">
                  <c:v>0.97690621591594062</c:v>
                </c:pt>
                <c:pt idx="46">
                  <c:v>0.98192154000421705</c:v>
                </c:pt>
                <c:pt idx="47">
                  <c:v>0.98672914694571212</c:v>
                </c:pt>
                <c:pt idx="48">
                  <c:v>0.99133872848240556</c:v>
                </c:pt>
                <c:pt idx="49">
                  <c:v>0.99575945320366344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76800"/>
        <c:axId val="143876096"/>
      </c:scatterChart>
      <c:valAx>
        <c:axId val="140876800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Nautical miles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3876096"/>
        <c:crosses val="autoZero"/>
        <c:crossBetween val="midCat"/>
      </c:valAx>
      <c:valAx>
        <c:axId val="1438760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0876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Cruise</a:t>
            </a:r>
            <a:r>
              <a:rPr lang="en-US" baseline="0"/>
              <a:t> speed </a:t>
            </a:r>
            <a:r>
              <a:rPr lang="en-US"/>
              <a:t>value function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'Cruise speed'!$A$2:$A$12</c:f>
              <c:numCache>
                <c:formatCode>General</c:formatCode>
                <c:ptCount val="11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262.5</c:v>
                </c:pt>
                <c:pt idx="8">
                  <c:v>275</c:v>
                </c:pt>
                <c:pt idx="9">
                  <c:v>287.5</c:v>
                </c:pt>
                <c:pt idx="10">
                  <c:v>300</c:v>
                </c:pt>
              </c:numCache>
            </c:numRef>
          </c:xVal>
          <c:yVal>
            <c:numRef>
              <c:f>'Cruise speed'!$B$2:$B$12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'Cruise speed'!$S$4:$S$105</c:f>
              <c:numCache>
                <c:formatCode>General</c:formatCode>
                <c:ptCount val="102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195</c:v>
                </c:pt>
                <c:pt idx="30">
                  <c:v>200</c:v>
                </c:pt>
                <c:pt idx="31">
                  <c:v>205</c:v>
                </c:pt>
                <c:pt idx="32">
                  <c:v>210</c:v>
                </c:pt>
                <c:pt idx="33">
                  <c:v>215</c:v>
                </c:pt>
                <c:pt idx="34">
                  <c:v>220</c:v>
                </c:pt>
                <c:pt idx="35">
                  <c:v>225</c:v>
                </c:pt>
                <c:pt idx="36">
                  <c:v>230</c:v>
                </c:pt>
                <c:pt idx="37">
                  <c:v>235</c:v>
                </c:pt>
                <c:pt idx="38">
                  <c:v>240</c:v>
                </c:pt>
                <c:pt idx="39">
                  <c:v>245</c:v>
                </c:pt>
                <c:pt idx="40">
                  <c:v>250</c:v>
                </c:pt>
                <c:pt idx="41">
                  <c:v>255</c:v>
                </c:pt>
                <c:pt idx="42">
                  <c:v>260</c:v>
                </c:pt>
                <c:pt idx="43">
                  <c:v>265</c:v>
                </c:pt>
                <c:pt idx="44">
                  <c:v>270</c:v>
                </c:pt>
                <c:pt idx="45">
                  <c:v>275</c:v>
                </c:pt>
                <c:pt idx="46">
                  <c:v>280</c:v>
                </c:pt>
                <c:pt idx="47">
                  <c:v>285</c:v>
                </c:pt>
                <c:pt idx="48">
                  <c:v>290</c:v>
                </c:pt>
                <c:pt idx="49">
                  <c:v>295</c:v>
                </c:pt>
                <c:pt idx="50">
                  <c:v>300</c:v>
                </c:pt>
                <c:pt idx="51">
                  <c:v>305</c:v>
                </c:pt>
                <c:pt idx="52">
                  <c:v>310</c:v>
                </c:pt>
                <c:pt idx="53">
                  <c:v>315</c:v>
                </c:pt>
                <c:pt idx="54">
                  <c:v>320</c:v>
                </c:pt>
                <c:pt idx="55">
                  <c:v>325</c:v>
                </c:pt>
                <c:pt idx="56">
                  <c:v>330</c:v>
                </c:pt>
                <c:pt idx="57">
                  <c:v>335</c:v>
                </c:pt>
                <c:pt idx="58">
                  <c:v>340</c:v>
                </c:pt>
                <c:pt idx="59">
                  <c:v>345</c:v>
                </c:pt>
                <c:pt idx="60">
                  <c:v>350</c:v>
                </c:pt>
                <c:pt idx="61">
                  <c:v>355</c:v>
                </c:pt>
                <c:pt idx="62">
                  <c:v>360</c:v>
                </c:pt>
                <c:pt idx="63">
                  <c:v>365</c:v>
                </c:pt>
                <c:pt idx="64">
                  <c:v>370</c:v>
                </c:pt>
                <c:pt idx="65">
                  <c:v>375</c:v>
                </c:pt>
                <c:pt idx="66">
                  <c:v>380</c:v>
                </c:pt>
                <c:pt idx="67">
                  <c:v>385</c:v>
                </c:pt>
                <c:pt idx="68">
                  <c:v>390</c:v>
                </c:pt>
                <c:pt idx="69">
                  <c:v>395</c:v>
                </c:pt>
                <c:pt idx="70">
                  <c:v>400</c:v>
                </c:pt>
                <c:pt idx="71">
                  <c:v>405</c:v>
                </c:pt>
                <c:pt idx="72">
                  <c:v>410</c:v>
                </c:pt>
                <c:pt idx="73">
                  <c:v>415</c:v>
                </c:pt>
                <c:pt idx="74">
                  <c:v>420</c:v>
                </c:pt>
                <c:pt idx="75">
                  <c:v>425</c:v>
                </c:pt>
                <c:pt idx="76">
                  <c:v>430</c:v>
                </c:pt>
                <c:pt idx="77">
                  <c:v>435</c:v>
                </c:pt>
                <c:pt idx="78">
                  <c:v>440</c:v>
                </c:pt>
                <c:pt idx="79">
                  <c:v>445</c:v>
                </c:pt>
                <c:pt idx="80">
                  <c:v>450</c:v>
                </c:pt>
                <c:pt idx="81">
                  <c:v>455</c:v>
                </c:pt>
                <c:pt idx="82">
                  <c:v>460</c:v>
                </c:pt>
                <c:pt idx="83">
                  <c:v>465</c:v>
                </c:pt>
                <c:pt idx="84">
                  <c:v>470</c:v>
                </c:pt>
                <c:pt idx="85">
                  <c:v>475</c:v>
                </c:pt>
                <c:pt idx="86">
                  <c:v>480</c:v>
                </c:pt>
                <c:pt idx="87">
                  <c:v>485</c:v>
                </c:pt>
                <c:pt idx="88">
                  <c:v>490</c:v>
                </c:pt>
                <c:pt idx="89">
                  <c:v>495</c:v>
                </c:pt>
                <c:pt idx="90">
                  <c:v>500</c:v>
                </c:pt>
                <c:pt idx="91">
                  <c:v>505</c:v>
                </c:pt>
                <c:pt idx="92">
                  <c:v>510</c:v>
                </c:pt>
                <c:pt idx="93">
                  <c:v>515</c:v>
                </c:pt>
                <c:pt idx="94">
                  <c:v>520</c:v>
                </c:pt>
                <c:pt idx="95">
                  <c:v>525</c:v>
                </c:pt>
                <c:pt idx="96">
                  <c:v>530</c:v>
                </c:pt>
                <c:pt idx="97">
                  <c:v>535</c:v>
                </c:pt>
                <c:pt idx="98">
                  <c:v>540</c:v>
                </c:pt>
                <c:pt idx="99">
                  <c:v>545</c:v>
                </c:pt>
                <c:pt idx="100">
                  <c:v>550</c:v>
                </c:pt>
                <c:pt idx="101">
                  <c:v>555</c:v>
                </c:pt>
              </c:numCache>
            </c:numRef>
          </c:xVal>
          <c:yVal>
            <c:numRef>
              <c:f>'Cruise speed'!$T$4:$T$105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2.0000024479116026E-2</c:v>
                </c:pt>
                <c:pt idx="2">
                  <c:v>4.000004798123457E-2</c:v>
                </c:pt>
                <c:pt idx="3">
                  <c:v>6.0000070506355627E-2</c:v>
                </c:pt>
                <c:pt idx="4">
                  <c:v>8.0000092010070231E-2</c:v>
                </c:pt>
                <c:pt idx="5">
                  <c:v>0.10000011249237836</c:v>
                </c:pt>
                <c:pt idx="6">
                  <c:v>0.12000013199768902</c:v>
                </c:pt>
                <c:pt idx="7">
                  <c:v>0.14000015048159323</c:v>
                </c:pt>
                <c:pt idx="8">
                  <c:v>0.16000016798849995</c:v>
                </c:pt>
                <c:pt idx="9">
                  <c:v>0.18000018451840918</c:v>
                </c:pt>
                <c:pt idx="10">
                  <c:v>0.20000019998250296</c:v>
                </c:pt>
                <c:pt idx="11">
                  <c:v>0.22000021451400825</c:v>
                </c:pt>
                <c:pt idx="12">
                  <c:v>0.24000022802410709</c:v>
                </c:pt>
                <c:pt idx="13">
                  <c:v>0.26000024051279946</c:v>
                </c:pt>
                <c:pt idx="14">
                  <c:v>0.28000025202449436</c:v>
                </c:pt>
                <c:pt idx="15">
                  <c:v>0.30000026251478279</c:v>
                </c:pt>
                <c:pt idx="16">
                  <c:v>0.32000027198366476</c:v>
                </c:pt>
                <c:pt idx="17">
                  <c:v>0.34000028051995823</c:v>
                </c:pt>
                <c:pt idx="18">
                  <c:v>0.36000028799043621</c:v>
                </c:pt>
                <c:pt idx="19">
                  <c:v>0.38000029452832573</c:v>
                </c:pt>
                <c:pt idx="20">
                  <c:v>0.40000030000039982</c:v>
                </c:pt>
                <c:pt idx="21">
                  <c:v>0.42000030449547643</c:v>
                </c:pt>
                <c:pt idx="22">
                  <c:v>0.44000030801355555</c:v>
                </c:pt>
                <c:pt idx="23">
                  <c:v>0.46000031051022822</c:v>
                </c:pt>
                <c:pt idx="24">
                  <c:v>0.4800003120299034</c:v>
                </c:pt>
                <c:pt idx="25">
                  <c:v>0.50000031252817212</c:v>
                </c:pt>
                <c:pt idx="26">
                  <c:v>0.52000031200503438</c:v>
                </c:pt>
                <c:pt idx="27">
                  <c:v>0.54000031050489916</c:v>
                </c:pt>
                <c:pt idx="28">
                  <c:v>0.56000030802776646</c:v>
                </c:pt>
                <c:pt idx="29">
                  <c:v>0.58000030452922724</c:v>
                </c:pt>
                <c:pt idx="30">
                  <c:v>0.60000030000928162</c:v>
                </c:pt>
                <c:pt idx="31">
                  <c:v>0.62000029451233851</c:v>
                </c:pt>
                <c:pt idx="32">
                  <c:v>0.640000287993989</c:v>
                </c:pt>
                <c:pt idx="33">
                  <c:v>0.6600002804986419</c:v>
                </c:pt>
                <c:pt idx="34">
                  <c:v>0.68000027202629743</c:v>
                </c:pt>
                <c:pt idx="35">
                  <c:v>0.70000026253254632</c:v>
                </c:pt>
                <c:pt idx="36">
                  <c:v>0.72000025201738893</c:v>
                </c:pt>
                <c:pt idx="37">
                  <c:v>0.74000024052523394</c:v>
                </c:pt>
                <c:pt idx="38">
                  <c:v>0.76000022801167255</c:v>
                </c:pt>
                <c:pt idx="39">
                  <c:v>0.78000021452111368</c:v>
                </c:pt>
                <c:pt idx="40">
                  <c:v>0.8000002000091484</c:v>
                </c:pt>
                <c:pt idx="41">
                  <c:v>0.82000018452018553</c:v>
                </c:pt>
                <c:pt idx="42">
                  <c:v>0.84000016800981625</c:v>
                </c:pt>
                <c:pt idx="43">
                  <c:v>0.86000015052244949</c:v>
                </c:pt>
                <c:pt idx="44">
                  <c:v>0.88000013201367633</c:v>
                </c:pt>
                <c:pt idx="45">
                  <c:v>0.90000011252790557</c:v>
                </c:pt>
                <c:pt idx="46">
                  <c:v>0.92000009202072841</c:v>
                </c:pt>
                <c:pt idx="47">
                  <c:v>0.94000007053655377</c:v>
                </c:pt>
                <c:pt idx="48">
                  <c:v>0.96000004803097261</c:v>
                </c:pt>
                <c:pt idx="49">
                  <c:v>0.98000002450398505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72608"/>
        <c:axId val="92778880"/>
      </c:scatterChart>
      <c:valAx>
        <c:axId val="92772608"/>
        <c:scaling>
          <c:orientation val="minMax"/>
          <c:max val="3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Knots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778880"/>
        <c:crosses val="autoZero"/>
        <c:crossBetween val="midCat"/>
      </c:valAx>
      <c:valAx>
        <c:axId val="927788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772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Observability value function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Observability!$A$2:$A$12</c:f>
              <c:numCache>
                <c:formatCode>General</c:formatCode>
                <c:ptCount val="11"/>
                <c:pt idx="0">
                  <c:v>0.16500000000000001</c:v>
                </c:pt>
                <c:pt idx="1">
                  <c:v>0.13500000000000001</c:v>
                </c:pt>
                <c:pt idx="2">
                  <c:v>0.105</c:v>
                </c:pt>
                <c:pt idx="3">
                  <c:v>0.09</c:v>
                </c:pt>
                <c:pt idx="4">
                  <c:v>7.4999999999999997E-2</c:v>
                </c:pt>
                <c:pt idx="5">
                  <c:v>0.06</c:v>
                </c:pt>
                <c:pt idx="6">
                  <c:v>4.4999999999999984E-2</c:v>
                </c:pt>
                <c:pt idx="7">
                  <c:v>3.7500000000000006E-2</c:v>
                </c:pt>
                <c:pt idx="8">
                  <c:v>2.9999999999999971E-2</c:v>
                </c:pt>
                <c:pt idx="9">
                  <c:v>2.2499999999999992E-2</c:v>
                </c:pt>
                <c:pt idx="10">
                  <c:v>1.4999999999999999E-2</c:v>
                </c:pt>
              </c:numCache>
            </c:numRef>
          </c:xVal>
          <c:yVal>
            <c:numRef>
              <c:f>Observability!$B$2:$B$12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Observability!$S$4:$S$105</c:f>
              <c:numCache>
                <c:formatCode>General</c:formatCode>
                <c:ptCount val="102"/>
                <c:pt idx="0">
                  <c:v>1.4999999999999999E-2</c:v>
                </c:pt>
                <c:pt idx="1">
                  <c:v>1.7999999999999999E-2</c:v>
                </c:pt>
                <c:pt idx="2">
                  <c:v>2.0999999999999998E-2</c:v>
                </c:pt>
                <c:pt idx="3">
                  <c:v>2.3999999999999997E-2</c:v>
                </c:pt>
                <c:pt idx="4">
                  <c:v>2.6999999999999996E-2</c:v>
                </c:pt>
                <c:pt idx="5">
                  <c:v>2.9999999999999995E-2</c:v>
                </c:pt>
                <c:pt idx="6">
                  <c:v>3.2999999999999995E-2</c:v>
                </c:pt>
                <c:pt idx="7">
                  <c:v>3.5999999999999997E-2</c:v>
                </c:pt>
                <c:pt idx="8">
                  <c:v>3.9E-2</c:v>
                </c:pt>
                <c:pt idx="9">
                  <c:v>4.2000000000000003E-2</c:v>
                </c:pt>
                <c:pt idx="10">
                  <c:v>4.5000000000000005E-2</c:v>
                </c:pt>
                <c:pt idx="11">
                  <c:v>4.8000000000000008E-2</c:v>
                </c:pt>
                <c:pt idx="12">
                  <c:v>5.1000000000000011E-2</c:v>
                </c:pt>
                <c:pt idx="13">
                  <c:v>5.4000000000000013E-2</c:v>
                </c:pt>
                <c:pt idx="14">
                  <c:v>5.7000000000000016E-2</c:v>
                </c:pt>
                <c:pt idx="15">
                  <c:v>6.0000000000000019E-2</c:v>
                </c:pt>
                <c:pt idx="16">
                  <c:v>6.3000000000000014E-2</c:v>
                </c:pt>
                <c:pt idx="17">
                  <c:v>6.6000000000000017E-2</c:v>
                </c:pt>
                <c:pt idx="18">
                  <c:v>6.900000000000002E-2</c:v>
                </c:pt>
                <c:pt idx="19">
                  <c:v>7.2000000000000022E-2</c:v>
                </c:pt>
                <c:pt idx="20">
                  <c:v>7.5000000000000025E-2</c:v>
                </c:pt>
                <c:pt idx="21">
                  <c:v>7.8000000000000028E-2</c:v>
                </c:pt>
                <c:pt idx="22">
                  <c:v>8.100000000000003E-2</c:v>
                </c:pt>
                <c:pt idx="23">
                  <c:v>8.4000000000000033E-2</c:v>
                </c:pt>
                <c:pt idx="24">
                  <c:v>8.7000000000000036E-2</c:v>
                </c:pt>
                <c:pt idx="25">
                  <c:v>9.0000000000000038E-2</c:v>
                </c:pt>
                <c:pt idx="26">
                  <c:v>9.3000000000000041E-2</c:v>
                </c:pt>
                <c:pt idx="27">
                  <c:v>9.6000000000000044E-2</c:v>
                </c:pt>
                <c:pt idx="28">
                  <c:v>9.9000000000000046E-2</c:v>
                </c:pt>
                <c:pt idx="29">
                  <c:v>0.10200000000000005</c:v>
                </c:pt>
                <c:pt idx="30">
                  <c:v>0.10500000000000005</c:v>
                </c:pt>
                <c:pt idx="31">
                  <c:v>0.10800000000000005</c:v>
                </c:pt>
                <c:pt idx="32">
                  <c:v>0.11100000000000006</c:v>
                </c:pt>
                <c:pt idx="33">
                  <c:v>0.11400000000000006</c:v>
                </c:pt>
                <c:pt idx="34">
                  <c:v>0.11700000000000006</c:v>
                </c:pt>
                <c:pt idx="35">
                  <c:v>0.12000000000000006</c:v>
                </c:pt>
                <c:pt idx="36">
                  <c:v>0.12300000000000007</c:v>
                </c:pt>
                <c:pt idx="37">
                  <c:v>0.12600000000000006</c:v>
                </c:pt>
                <c:pt idx="38">
                  <c:v>0.12900000000000006</c:v>
                </c:pt>
                <c:pt idx="39">
                  <c:v>0.13200000000000006</c:v>
                </c:pt>
                <c:pt idx="40">
                  <c:v>0.13500000000000006</c:v>
                </c:pt>
                <c:pt idx="41">
                  <c:v>0.13800000000000007</c:v>
                </c:pt>
                <c:pt idx="42">
                  <c:v>0.14100000000000007</c:v>
                </c:pt>
                <c:pt idx="43">
                  <c:v>0.14400000000000007</c:v>
                </c:pt>
                <c:pt idx="44">
                  <c:v>0.14700000000000008</c:v>
                </c:pt>
                <c:pt idx="45">
                  <c:v>0.15000000000000008</c:v>
                </c:pt>
                <c:pt idx="46">
                  <c:v>0.15300000000000008</c:v>
                </c:pt>
                <c:pt idx="47">
                  <c:v>0.15600000000000008</c:v>
                </c:pt>
                <c:pt idx="48">
                  <c:v>0.15900000000000009</c:v>
                </c:pt>
                <c:pt idx="49">
                  <c:v>0.16200000000000009</c:v>
                </c:pt>
                <c:pt idx="50">
                  <c:v>0.16500000000000009</c:v>
                </c:pt>
                <c:pt idx="51">
                  <c:v>0.16800000000000009</c:v>
                </c:pt>
                <c:pt idx="52">
                  <c:v>0.1710000000000001</c:v>
                </c:pt>
                <c:pt idx="53">
                  <c:v>0.1740000000000001</c:v>
                </c:pt>
                <c:pt idx="54">
                  <c:v>0.1770000000000001</c:v>
                </c:pt>
                <c:pt idx="55">
                  <c:v>0.1800000000000001</c:v>
                </c:pt>
                <c:pt idx="56">
                  <c:v>0.18300000000000011</c:v>
                </c:pt>
                <c:pt idx="57">
                  <c:v>0.18600000000000011</c:v>
                </c:pt>
                <c:pt idx="58">
                  <c:v>0.18900000000000011</c:v>
                </c:pt>
                <c:pt idx="59">
                  <c:v>0.19200000000000012</c:v>
                </c:pt>
                <c:pt idx="60">
                  <c:v>0.19500000000000012</c:v>
                </c:pt>
                <c:pt idx="61">
                  <c:v>0.19800000000000012</c:v>
                </c:pt>
                <c:pt idx="62">
                  <c:v>0.20100000000000012</c:v>
                </c:pt>
                <c:pt idx="63">
                  <c:v>0.20400000000000013</c:v>
                </c:pt>
                <c:pt idx="64">
                  <c:v>0.20700000000000013</c:v>
                </c:pt>
                <c:pt idx="65">
                  <c:v>0.21000000000000013</c:v>
                </c:pt>
                <c:pt idx="66">
                  <c:v>0.21300000000000013</c:v>
                </c:pt>
                <c:pt idx="67">
                  <c:v>0.21600000000000014</c:v>
                </c:pt>
                <c:pt idx="68">
                  <c:v>0.21900000000000014</c:v>
                </c:pt>
                <c:pt idx="69">
                  <c:v>0.22200000000000014</c:v>
                </c:pt>
                <c:pt idx="70">
                  <c:v>0.22500000000000014</c:v>
                </c:pt>
                <c:pt idx="71">
                  <c:v>0.22800000000000015</c:v>
                </c:pt>
                <c:pt idx="72">
                  <c:v>0.23100000000000015</c:v>
                </c:pt>
                <c:pt idx="73">
                  <c:v>0.23400000000000015</c:v>
                </c:pt>
                <c:pt idx="74">
                  <c:v>0.23700000000000015</c:v>
                </c:pt>
                <c:pt idx="75">
                  <c:v>0.24000000000000016</c:v>
                </c:pt>
                <c:pt idx="76">
                  <c:v>0.24300000000000016</c:v>
                </c:pt>
                <c:pt idx="77">
                  <c:v>0.24600000000000016</c:v>
                </c:pt>
                <c:pt idx="78">
                  <c:v>0.24900000000000017</c:v>
                </c:pt>
                <c:pt idx="79">
                  <c:v>0.25200000000000017</c:v>
                </c:pt>
                <c:pt idx="80">
                  <c:v>0.25500000000000017</c:v>
                </c:pt>
                <c:pt idx="81">
                  <c:v>0.25800000000000017</c:v>
                </c:pt>
                <c:pt idx="82">
                  <c:v>0.26100000000000018</c:v>
                </c:pt>
                <c:pt idx="83">
                  <c:v>0.26400000000000018</c:v>
                </c:pt>
                <c:pt idx="84">
                  <c:v>0.26700000000000018</c:v>
                </c:pt>
                <c:pt idx="85">
                  <c:v>0.27000000000000018</c:v>
                </c:pt>
                <c:pt idx="86">
                  <c:v>0.27300000000000019</c:v>
                </c:pt>
                <c:pt idx="87">
                  <c:v>0.27600000000000019</c:v>
                </c:pt>
                <c:pt idx="88">
                  <c:v>0.27900000000000019</c:v>
                </c:pt>
                <c:pt idx="89">
                  <c:v>0.28200000000000019</c:v>
                </c:pt>
                <c:pt idx="90">
                  <c:v>0.2850000000000002</c:v>
                </c:pt>
                <c:pt idx="91">
                  <c:v>0.2880000000000002</c:v>
                </c:pt>
                <c:pt idx="92">
                  <c:v>0.2910000000000002</c:v>
                </c:pt>
                <c:pt idx="93">
                  <c:v>0.29400000000000021</c:v>
                </c:pt>
                <c:pt idx="94">
                  <c:v>0.29700000000000021</c:v>
                </c:pt>
                <c:pt idx="95">
                  <c:v>0.30000000000000021</c:v>
                </c:pt>
                <c:pt idx="96">
                  <c:v>0.30300000000000021</c:v>
                </c:pt>
                <c:pt idx="97">
                  <c:v>0.30600000000000022</c:v>
                </c:pt>
                <c:pt idx="98">
                  <c:v>0.30900000000000022</c:v>
                </c:pt>
                <c:pt idx="99">
                  <c:v>0.31200000000000022</c:v>
                </c:pt>
                <c:pt idx="100">
                  <c:v>0.31500000000000022</c:v>
                </c:pt>
                <c:pt idx="101">
                  <c:v>0.31800000000000023</c:v>
                </c:pt>
              </c:numCache>
            </c:numRef>
          </c:xVal>
          <c:yVal>
            <c:numRef>
              <c:f>Observability!$T$4:$T$105</c:f>
              <c:numCache>
                <c:formatCode>General</c:formatCode>
                <c:ptCount val="102"/>
                <c:pt idx="0">
                  <c:v>1</c:v>
                </c:pt>
                <c:pt idx="1">
                  <c:v>0.9799999970394051</c:v>
                </c:pt>
                <c:pt idx="2">
                  <c:v>0.9599999940788102</c:v>
                </c:pt>
                <c:pt idx="3">
                  <c:v>0.93999999111821531</c:v>
                </c:pt>
                <c:pt idx="4">
                  <c:v>0.91999998815762041</c:v>
                </c:pt>
                <c:pt idx="5">
                  <c:v>0.90000013322677175</c:v>
                </c:pt>
                <c:pt idx="6">
                  <c:v>0.88000013026617674</c:v>
                </c:pt>
                <c:pt idx="7">
                  <c:v>0.86000012730558184</c:v>
                </c:pt>
                <c:pt idx="8">
                  <c:v>0.84000012434498694</c:v>
                </c:pt>
                <c:pt idx="9">
                  <c:v>0.82000012138439204</c:v>
                </c:pt>
                <c:pt idx="10">
                  <c:v>0.80000011842379704</c:v>
                </c:pt>
                <c:pt idx="11">
                  <c:v>0.78000011546320214</c:v>
                </c:pt>
                <c:pt idx="12">
                  <c:v>0.76000011250260724</c:v>
                </c:pt>
                <c:pt idx="13">
                  <c:v>0.74000010954201234</c:v>
                </c:pt>
                <c:pt idx="14">
                  <c:v>0.72000010658141733</c:v>
                </c:pt>
                <c:pt idx="15">
                  <c:v>0.70000010362082243</c:v>
                </c:pt>
                <c:pt idx="16">
                  <c:v>0.68000010066022754</c:v>
                </c:pt>
                <c:pt idx="17">
                  <c:v>0.66000009769963264</c:v>
                </c:pt>
                <c:pt idx="18">
                  <c:v>0.64000009473903763</c:v>
                </c:pt>
                <c:pt idx="19">
                  <c:v>0.62000009177844273</c:v>
                </c:pt>
                <c:pt idx="20">
                  <c:v>0.60000008881784783</c:v>
                </c:pt>
                <c:pt idx="21">
                  <c:v>0.58000008585725282</c:v>
                </c:pt>
                <c:pt idx="22">
                  <c:v>0.56000008289665792</c:v>
                </c:pt>
                <c:pt idx="23">
                  <c:v>0.54000007993606303</c:v>
                </c:pt>
                <c:pt idx="24">
                  <c:v>0.52000007697546813</c:v>
                </c:pt>
                <c:pt idx="25">
                  <c:v>0.50000007401487312</c:v>
                </c:pt>
                <c:pt idx="26">
                  <c:v>0.48000007105427822</c:v>
                </c:pt>
                <c:pt idx="27">
                  <c:v>0.46000006809368332</c:v>
                </c:pt>
                <c:pt idx="28">
                  <c:v>0.44000006513308837</c:v>
                </c:pt>
                <c:pt idx="29">
                  <c:v>0.42000006217249347</c:v>
                </c:pt>
                <c:pt idx="30">
                  <c:v>0.40000005921189852</c:v>
                </c:pt>
                <c:pt idx="31">
                  <c:v>0.38000005625130362</c:v>
                </c:pt>
                <c:pt idx="32">
                  <c:v>0.36000005329070867</c:v>
                </c:pt>
                <c:pt idx="33">
                  <c:v>0.34000005033011377</c:v>
                </c:pt>
                <c:pt idx="34">
                  <c:v>0.32000004736951881</c:v>
                </c:pt>
                <c:pt idx="35">
                  <c:v>0.30000004440892392</c:v>
                </c:pt>
                <c:pt idx="36">
                  <c:v>0.28000004144832896</c:v>
                </c:pt>
                <c:pt idx="37">
                  <c:v>0.26000003848773406</c:v>
                </c:pt>
                <c:pt idx="38">
                  <c:v>0.24000003552713911</c:v>
                </c:pt>
                <c:pt idx="39">
                  <c:v>0.22000003256654418</c:v>
                </c:pt>
                <c:pt idx="40">
                  <c:v>0.20000002960594926</c:v>
                </c:pt>
                <c:pt idx="41">
                  <c:v>0.18000002664535433</c:v>
                </c:pt>
                <c:pt idx="42">
                  <c:v>0.16000002368475941</c:v>
                </c:pt>
                <c:pt idx="43">
                  <c:v>0.14000002072416448</c:v>
                </c:pt>
                <c:pt idx="44">
                  <c:v>0.12000001776356956</c:v>
                </c:pt>
                <c:pt idx="45">
                  <c:v>0.10000001480297463</c:v>
                </c:pt>
                <c:pt idx="46">
                  <c:v>8.0000011842379704E-2</c:v>
                </c:pt>
                <c:pt idx="47">
                  <c:v>6.0000008881784778E-2</c:v>
                </c:pt>
                <c:pt idx="48">
                  <c:v>4.0000005921189852E-2</c:v>
                </c:pt>
                <c:pt idx="49">
                  <c:v>2.0000002960594926E-2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00896"/>
        <c:axId val="92803072"/>
      </c:scatterChart>
      <c:valAx>
        <c:axId val="92800896"/>
        <c:scaling>
          <c:orientation val="minMax"/>
          <c:max val="0.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Field of view (degrees)</a:t>
                </a:r>
              </a:p>
            </c:rich>
          </c:tx>
          <c:layout>
            <c:manualLayout>
              <c:xMode val="edge"/>
              <c:yMode val="edge"/>
              <c:x val="0.36863299327403082"/>
              <c:y val="0.91161759219598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2803072"/>
        <c:crosses val="autoZero"/>
        <c:crossBetween val="midCat"/>
      </c:valAx>
      <c:valAx>
        <c:axId val="928030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800896"/>
        <c:crossesAt val="-3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Stealth value function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Stealth!$A$2:$A$3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Stealth!$B$2:$B$3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69376"/>
        <c:axId val="92871296"/>
      </c:lineChart>
      <c:catAx>
        <c:axId val="9286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Stealth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92871296"/>
        <c:crosses val="autoZero"/>
        <c:auto val="0"/>
        <c:lblAlgn val="ctr"/>
        <c:lblOffset val="100"/>
        <c:noMultiLvlLbl val="0"/>
      </c:catAx>
      <c:valAx>
        <c:axId val="928712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86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Technology maturity level value function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Assessed value</c:v>
          </c:tx>
          <c:spPr>
            <a:ln w="28575">
              <a:noFill/>
            </a:ln>
          </c:spPr>
          <c:xVal>
            <c:numRef>
              <c:f>'Technology maturity'!$A$2:$A$12</c:f>
              <c:numCache>
                <c:formatCode>General</c:formatCode>
                <c:ptCount val="11"/>
                <c:pt idx="0">
                  <c:v>-3</c:v>
                </c:pt>
                <c:pt idx="1">
                  <c:v>-1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</c:numCache>
            </c:numRef>
          </c:xVal>
          <c:yVal>
            <c:numRef>
              <c:f>'Technology maturity'!$B$2:$B$12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0.85</c:v>
                </c:pt>
                <c:pt idx="8">
                  <c:v>0.9</c:v>
                </c:pt>
                <c:pt idx="9">
                  <c:v>0.95</c:v>
                </c:pt>
                <c:pt idx="1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 line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'Technology maturity'!$S$4:$S$105</c:f>
              <c:numCache>
                <c:formatCode>General</c:formatCode>
                <c:ptCount val="102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3.8857805861880479E-16</c:v>
                </c:pt>
                <c:pt idx="16">
                  <c:v>0.2000000000000004</c:v>
                </c:pt>
                <c:pt idx="17">
                  <c:v>0.40000000000000041</c:v>
                </c:pt>
                <c:pt idx="18">
                  <c:v>0.60000000000000042</c:v>
                </c:pt>
                <c:pt idx="19">
                  <c:v>0.80000000000000049</c:v>
                </c:pt>
                <c:pt idx="20">
                  <c:v>1.0000000000000004</c:v>
                </c:pt>
                <c:pt idx="21">
                  <c:v>1.2000000000000004</c:v>
                </c:pt>
                <c:pt idx="22">
                  <c:v>1.4000000000000004</c:v>
                </c:pt>
                <c:pt idx="23">
                  <c:v>1.6000000000000003</c:v>
                </c:pt>
                <c:pt idx="24">
                  <c:v>1.8000000000000003</c:v>
                </c:pt>
                <c:pt idx="25">
                  <c:v>2.0000000000000004</c:v>
                </c:pt>
                <c:pt idx="26">
                  <c:v>2.2000000000000006</c:v>
                </c:pt>
                <c:pt idx="27">
                  <c:v>2.4000000000000008</c:v>
                </c:pt>
                <c:pt idx="28">
                  <c:v>2.600000000000001</c:v>
                </c:pt>
                <c:pt idx="29">
                  <c:v>2.8000000000000012</c:v>
                </c:pt>
                <c:pt idx="30">
                  <c:v>3.0000000000000013</c:v>
                </c:pt>
                <c:pt idx="31">
                  <c:v>3.2000000000000015</c:v>
                </c:pt>
                <c:pt idx="32">
                  <c:v>3.4000000000000017</c:v>
                </c:pt>
                <c:pt idx="33">
                  <c:v>3.6000000000000019</c:v>
                </c:pt>
                <c:pt idx="34">
                  <c:v>3.800000000000002</c:v>
                </c:pt>
                <c:pt idx="35">
                  <c:v>4.0000000000000018</c:v>
                </c:pt>
                <c:pt idx="36">
                  <c:v>4.200000000000002</c:v>
                </c:pt>
                <c:pt idx="37">
                  <c:v>4.4000000000000021</c:v>
                </c:pt>
                <c:pt idx="38">
                  <c:v>4.6000000000000023</c:v>
                </c:pt>
                <c:pt idx="39">
                  <c:v>4.8000000000000025</c:v>
                </c:pt>
                <c:pt idx="40">
                  <c:v>5.0000000000000027</c:v>
                </c:pt>
                <c:pt idx="41">
                  <c:v>5.2000000000000028</c:v>
                </c:pt>
                <c:pt idx="42">
                  <c:v>5.400000000000003</c:v>
                </c:pt>
                <c:pt idx="43">
                  <c:v>5.6000000000000032</c:v>
                </c:pt>
                <c:pt idx="44">
                  <c:v>5.8000000000000034</c:v>
                </c:pt>
                <c:pt idx="45">
                  <c:v>6.0000000000000036</c:v>
                </c:pt>
                <c:pt idx="46">
                  <c:v>6.2000000000000037</c:v>
                </c:pt>
                <c:pt idx="47">
                  <c:v>6.4000000000000039</c:v>
                </c:pt>
                <c:pt idx="48">
                  <c:v>6.6000000000000041</c:v>
                </c:pt>
                <c:pt idx="49">
                  <c:v>6.8000000000000043</c:v>
                </c:pt>
                <c:pt idx="50">
                  <c:v>7.0000000000000044</c:v>
                </c:pt>
                <c:pt idx="51">
                  <c:v>7.2000000000000046</c:v>
                </c:pt>
                <c:pt idx="52">
                  <c:v>7.4000000000000048</c:v>
                </c:pt>
                <c:pt idx="53">
                  <c:v>7.600000000000005</c:v>
                </c:pt>
                <c:pt idx="54">
                  <c:v>7.8000000000000052</c:v>
                </c:pt>
                <c:pt idx="55">
                  <c:v>8.0000000000000053</c:v>
                </c:pt>
                <c:pt idx="56">
                  <c:v>8.2000000000000046</c:v>
                </c:pt>
                <c:pt idx="57">
                  <c:v>8.4000000000000039</c:v>
                </c:pt>
                <c:pt idx="58">
                  <c:v>8.6000000000000032</c:v>
                </c:pt>
                <c:pt idx="59">
                  <c:v>8.8000000000000025</c:v>
                </c:pt>
                <c:pt idx="60">
                  <c:v>9.0000000000000018</c:v>
                </c:pt>
                <c:pt idx="61">
                  <c:v>9.2000000000000011</c:v>
                </c:pt>
                <c:pt idx="62">
                  <c:v>9.4</c:v>
                </c:pt>
                <c:pt idx="63">
                  <c:v>9.6</c:v>
                </c:pt>
                <c:pt idx="64">
                  <c:v>9.7999999999999989</c:v>
                </c:pt>
                <c:pt idx="65">
                  <c:v>9.9999999999999982</c:v>
                </c:pt>
                <c:pt idx="66">
                  <c:v>10.199999999999998</c:v>
                </c:pt>
                <c:pt idx="67">
                  <c:v>10.399999999999997</c:v>
                </c:pt>
                <c:pt idx="68">
                  <c:v>10.599999999999996</c:v>
                </c:pt>
                <c:pt idx="69">
                  <c:v>10.799999999999995</c:v>
                </c:pt>
                <c:pt idx="70">
                  <c:v>10.999999999999995</c:v>
                </c:pt>
                <c:pt idx="71">
                  <c:v>11.199999999999994</c:v>
                </c:pt>
                <c:pt idx="72">
                  <c:v>11.399999999999993</c:v>
                </c:pt>
                <c:pt idx="73">
                  <c:v>11.599999999999993</c:v>
                </c:pt>
                <c:pt idx="74">
                  <c:v>11.799999999999992</c:v>
                </c:pt>
                <c:pt idx="75">
                  <c:v>11.999999999999991</c:v>
                </c:pt>
                <c:pt idx="76">
                  <c:v>12.19999999999999</c:v>
                </c:pt>
                <c:pt idx="77">
                  <c:v>12.39999999999999</c:v>
                </c:pt>
                <c:pt idx="78">
                  <c:v>12.599999999999989</c:v>
                </c:pt>
                <c:pt idx="79">
                  <c:v>12.799999999999988</c:v>
                </c:pt>
                <c:pt idx="80">
                  <c:v>12.999999999999988</c:v>
                </c:pt>
                <c:pt idx="81">
                  <c:v>13.199999999999987</c:v>
                </c:pt>
                <c:pt idx="82">
                  <c:v>13.399999999999986</c:v>
                </c:pt>
                <c:pt idx="83">
                  <c:v>13.599999999999985</c:v>
                </c:pt>
                <c:pt idx="84">
                  <c:v>13.799999999999985</c:v>
                </c:pt>
                <c:pt idx="85">
                  <c:v>13.999999999999984</c:v>
                </c:pt>
                <c:pt idx="86">
                  <c:v>14.199999999999983</c:v>
                </c:pt>
                <c:pt idx="87">
                  <c:v>14.399999999999983</c:v>
                </c:pt>
                <c:pt idx="88">
                  <c:v>14.599999999999982</c:v>
                </c:pt>
                <c:pt idx="89">
                  <c:v>14.799999999999981</c:v>
                </c:pt>
                <c:pt idx="90">
                  <c:v>14.99999999999998</c:v>
                </c:pt>
                <c:pt idx="91">
                  <c:v>15.19999999999998</c:v>
                </c:pt>
                <c:pt idx="92">
                  <c:v>15.399999999999979</c:v>
                </c:pt>
                <c:pt idx="93">
                  <c:v>15.599999999999978</c:v>
                </c:pt>
                <c:pt idx="94">
                  <c:v>15.799999999999978</c:v>
                </c:pt>
                <c:pt idx="95">
                  <c:v>15.999999999999977</c:v>
                </c:pt>
                <c:pt idx="96">
                  <c:v>16.199999999999978</c:v>
                </c:pt>
                <c:pt idx="97">
                  <c:v>16.399999999999977</c:v>
                </c:pt>
                <c:pt idx="98">
                  <c:v>16.599999999999977</c:v>
                </c:pt>
                <c:pt idx="99">
                  <c:v>16.799999999999976</c:v>
                </c:pt>
                <c:pt idx="100">
                  <c:v>16.999999999999975</c:v>
                </c:pt>
                <c:pt idx="101">
                  <c:v>17.199999999999974</c:v>
                </c:pt>
              </c:numCache>
            </c:numRef>
          </c:xVal>
          <c:yVal>
            <c:numRef>
              <c:f>'Technology maturity'!$T$4:$T$105</c:f>
              <c:numCache>
                <c:formatCode>General</c:formatCode>
                <c:ptCount val="102"/>
                <c:pt idx="0">
                  <c:v>0</c:v>
                </c:pt>
                <c:pt idx="1">
                  <c:v>2.0000000444089235E-2</c:v>
                </c:pt>
                <c:pt idx="2">
                  <c:v>4.0000001998401549E-2</c:v>
                </c:pt>
                <c:pt idx="3">
                  <c:v>6.0000002442490784E-2</c:v>
                </c:pt>
                <c:pt idx="4">
                  <c:v>8.0000003996803098E-2</c:v>
                </c:pt>
                <c:pt idx="5">
                  <c:v>0.10000000444089233</c:v>
                </c:pt>
                <c:pt idx="6">
                  <c:v>0.12000000488498157</c:v>
                </c:pt>
                <c:pt idx="7">
                  <c:v>0.14000000643929389</c:v>
                </c:pt>
                <c:pt idx="8">
                  <c:v>0.16000000688338312</c:v>
                </c:pt>
                <c:pt idx="9">
                  <c:v>0.18000000732747234</c:v>
                </c:pt>
                <c:pt idx="10">
                  <c:v>0.20000000777156157</c:v>
                </c:pt>
                <c:pt idx="11">
                  <c:v>0.2200000082156508</c:v>
                </c:pt>
                <c:pt idx="12">
                  <c:v>0.24000000976996314</c:v>
                </c:pt>
                <c:pt idx="13">
                  <c:v>0.26000001021405234</c:v>
                </c:pt>
                <c:pt idx="14">
                  <c:v>0.28000001065814162</c:v>
                </c:pt>
                <c:pt idx="15">
                  <c:v>0.30000001110223085</c:v>
                </c:pt>
                <c:pt idx="16">
                  <c:v>0.32000001154632007</c:v>
                </c:pt>
                <c:pt idx="17">
                  <c:v>0.34000001088018622</c:v>
                </c:pt>
                <c:pt idx="18">
                  <c:v>0.36000001132427545</c:v>
                </c:pt>
                <c:pt idx="19">
                  <c:v>0.38000001176836468</c:v>
                </c:pt>
                <c:pt idx="20">
                  <c:v>0.4000000122124539</c:v>
                </c:pt>
                <c:pt idx="21">
                  <c:v>0.42000001265654313</c:v>
                </c:pt>
                <c:pt idx="22">
                  <c:v>0.44000001199040928</c:v>
                </c:pt>
                <c:pt idx="23">
                  <c:v>0.46000001243449856</c:v>
                </c:pt>
                <c:pt idx="24">
                  <c:v>0.48000001287858779</c:v>
                </c:pt>
                <c:pt idx="25">
                  <c:v>0.50000001221245394</c:v>
                </c:pt>
                <c:pt idx="26">
                  <c:v>0.52000001265654316</c:v>
                </c:pt>
                <c:pt idx="27">
                  <c:v>0.54000001310063239</c:v>
                </c:pt>
                <c:pt idx="28">
                  <c:v>0.5600000124344986</c:v>
                </c:pt>
                <c:pt idx="29">
                  <c:v>0.58000001287858782</c:v>
                </c:pt>
                <c:pt idx="30">
                  <c:v>0.60000001221245391</c:v>
                </c:pt>
                <c:pt idx="31">
                  <c:v>0.62000001154632012</c:v>
                </c:pt>
                <c:pt idx="32">
                  <c:v>0.64000001199040935</c:v>
                </c:pt>
                <c:pt idx="33">
                  <c:v>0.66000001132427544</c:v>
                </c:pt>
                <c:pt idx="34">
                  <c:v>0.68000001065814164</c:v>
                </c:pt>
                <c:pt idx="35">
                  <c:v>0.70000001110223087</c:v>
                </c:pt>
                <c:pt idx="36">
                  <c:v>0.72000001043609696</c:v>
                </c:pt>
                <c:pt idx="37">
                  <c:v>0.74000000976996316</c:v>
                </c:pt>
                <c:pt idx="38">
                  <c:v>0.76000000910382937</c:v>
                </c:pt>
                <c:pt idx="39">
                  <c:v>0.78000000843769546</c:v>
                </c:pt>
                <c:pt idx="40">
                  <c:v>0.80000000888178469</c:v>
                </c:pt>
                <c:pt idx="41">
                  <c:v>0.82000000821565089</c:v>
                </c:pt>
                <c:pt idx="42">
                  <c:v>0.84000000754951698</c:v>
                </c:pt>
                <c:pt idx="43">
                  <c:v>0.86000000688338318</c:v>
                </c:pt>
                <c:pt idx="44">
                  <c:v>0.88000000621724928</c:v>
                </c:pt>
                <c:pt idx="45">
                  <c:v>0.90000000444089234</c:v>
                </c:pt>
                <c:pt idx="46">
                  <c:v>0.92000000377475855</c:v>
                </c:pt>
                <c:pt idx="47">
                  <c:v>0.94000000310862475</c:v>
                </c:pt>
                <c:pt idx="48">
                  <c:v>0.96000000244249084</c:v>
                </c:pt>
                <c:pt idx="49">
                  <c:v>0.98000000177635704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09952"/>
        <c:axId val="92911872"/>
      </c:scatterChart>
      <c:valAx>
        <c:axId val="92909952"/>
        <c:scaling>
          <c:orientation val="minMax"/>
          <c:max val="8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in service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911872"/>
        <c:crosses val="autoZero"/>
        <c:crossBetween val="midCat"/>
      </c:valAx>
      <c:valAx>
        <c:axId val="929118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909952"/>
        <c:crossesAt val="-3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weather capability value function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Assessed value</c:v>
          </c:tx>
          <c:spPr>
            <a:ln>
              <a:noFill/>
            </a:ln>
          </c:spPr>
          <c:cat>
            <c:strRef>
              <c:f>'All weather'!$A$2:$A$3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'All weather'!$B$2:$B$3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61792"/>
        <c:axId val="92963968"/>
      </c:lineChart>
      <c:catAx>
        <c:axId val="9296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Deicing capability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92963968"/>
        <c:crosses val="autoZero"/>
        <c:auto val="0"/>
        <c:lblAlgn val="ctr"/>
        <c:lblOffset val="100"/>
        <c:noMultiLvlLbl val="0"/>
      </c:catAx>
      <c:valAx>
        <c:axId val="929639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961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176212</xdr:rowOff>
    </xdr:from>
    <xdr:to>
      <xdr:col>13</xdr:col>
      <xdr:colOff>219074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ropbox/UAV%20Comms%20Thesis/Randy%20UAV%20Cos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PI"/>
      <sheetName val="Sheet3"/>
    </sheetNames>
    <sheetDataSet>
      <sheetData sheetId="0" refreshError="1"/>
      <sheetData sheetId="1" refreshError="1"/>
      <sheetData sheetId="2" refreshError="1">
        <row r="4">
          <cell r="F4">
            <v>4.8089363873716948</v>
          </cell>
        </row>
        <row r="5">
          <cell r="F5">
            <v>3.6373688371466542</v>
          </cell>
        </row>
        <row r="6">
          <cell r="F6">
            <v>26.429602435675921</v>
          </cell>
        </row>
        <row r="7">
          <cell r="F7">
            <v>34.357959906292898</v>
          </cell>
        </row>
        <row r="8">
          <cell r="F8">
            <v>3.3834230952380957</v>
          </cell>
        </row>
        <row r="9">
          <cell r="F9">
            <v>2.0190046678402069</v>
          </cell>
        </row>
        <row r="10">
          <cell r="F10">
            <v>1.496300212946621E-2</v>
          </cell>
        </row>
        <row r="11">
          <cell r="F11">
            <v>1.7456835817710577E-2</v>
          </cell>
        </row>
        <row r="12">
          <cell r="F12">
            <v>0.85606088618099418</v>
          </cell>
        </row>
        <row r="13">
          <cell r="F13">
            <v>8.1808722813740617E-2</v>
          </cell>
        </row>
        <row r="14">
          <cell r="F14">
            <v>95.447859659285413</v>
          </cell>
        </row>
        <row r="15">
          <cell r="F15">
            <v>0.14842142332365665</v>
          </cell>
        </row>
        <row r="16">
          <cell r="F16">
            <v>2.6566246889867919</v>
          </cell>
        </row>
        <row r="17">
          <cell r="F17">
            <v>0.94010418616306357</v>
          </cell>
        </row>
        <row r="18">
          <cell r="F18">
            <v>2.7141500472479669E-2</v>
          </cell>
        </row>
        <row r="19">
          <cell r="F19">
            <v>9.568514795844546E-2</v>
          </cell>
        </row>
        <row r="20">
          <cell r="F20">
            <v>2.5453899682805297</v>
          </cell>
        </row>
        <row r="21">
          <cell r="F21">
            <v>0.11711345408399612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eing.com/boeing/bds/phantom_works/hummingbird.page" TargetMode="External"/><Relationship Id="rId3" Type="http://schemas.openxmlformats.org/officeDocument/2006/relationships/hyperlink" Target="http://www.ga-asi.com/products/aircraft/pdf/MQ-1_Predator.pdf" TargetMode="External"/><Relationship Id="rId7" Type="http://schemas.openxmlformats.org/officeDocument/2006/relationships/hyperlink" Target="http://www.northropgrumman.com/Capabilities/GlobalHawk/Pages/default.asp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ga-asi.com/products/aircraft/pdf/Gray_Eagle.pdf" TargetMode="External"/><Relationship Id="rId1" Type="http://schemas.openxmlformats.org/officeDocument/2006/relationships/hyperlink" Target="http://www.defenseindustrydaily.com/133M-to-Lockheed-Martin-for-US-Army-Aerostat-based-Warning-System-05835/" TargetMode="External"/><Relationship Id="rId6" Type="http://schemas.openxmlformats.org/officeDocument/2006/relationships/hyperlink" Target="http://www.avinc.com/downloads/Raven_Gimbal.pdf" TargetMode="External"/><Relationship Id="rId11" Type="http://schemas.openxmlformats.org/officeDocument/2006/relationships/hyperlink" Target="http://www.ga-asi.com/products/aircraft/pdf/Predator_C.pdf" TargetMode="External"/><Relationship Id="rId5" Type="http://schemas.openxmlformats.org/officeDocument/2006/relationships/hyperlink" Target="http://www.insitu.com/systems/integrator/rq-21a-blackjack" TargetMode="External"/><Relationship Id="rId10" Type="http://schemas.openxmlformats.org/officeDocument/2006/relationships/hyperlink" Target="http://www.fas.org/man/dod-101/sys/land/wsh2012/254.pdf" TargetMode="External"/><Relationship Id="rId4" Type="http://schemas.openxmlformats.org/officeDocument/2006/relationships/hyperlink" Target="http://www.ga-asi.com/products/aircraft/pdf/Predator_B.pdf" TargetMode="External"/><Relationship Id="rId9" Type="http://schemas.openxmlformats.org/officeDocument/2006/relationships/hyperlink" Target="http://www.northropgrumman.com/Capabilities/Triton/Pages/default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eusnetworks.com/sites/oceusnetworks.com/files/oceus-ds-xiphos-7-13final.pdf" TargetMode="External"/><Relationship Id="rId2" Type="http://schemas.openxmlformats.org/officeDocument/2006/relationships/hyperlink" Target="http://rf.harris.com/media/AN-PRC-152_M1_Web_tcm26-9021.pdf" TargetMode="External"/><Relationship Id="rId1" Type="http://schemas.openxmlformats.org/officeDocument/2006/relationships/hyperlink" Target="http://www.defenseindustrydaily.com/Drone-Relay-PRC-152-Radios-RQ-7-UAVs-Front-Line-Bandwidth-04753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ellisware.com/wp-content/uploads/TW-600_Ocelot_Product_bulleti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1"/>
  <sheetViews>
    <sheetView topLeftCell="A2" zoomScale="80" zoomScaleNormal="80" workbookViewId="0">
      <pane xSplit="1" ySplit="2" topLeftCell="D4" activePane="bottomRight" state="frozen"/>
      <selection activeCell="A2" sqref="A2"/>
      <selection pane="topRight" activeCell="B2" sqref="B2"/>
      <selection pane="bottomLeft" activeCell="A4" sqref="A4"/>
      <selection pane="bottomRight" activeCell="N14" sqref="N14"/>
    </sheetView>
  </sheetViews>
  <sheetFormatPr defaultColWidth="8.85546875" defaultRowHeight="15" x14ac:dyDescent="0.25"/>
  <cols>
    <col min="1" max="1" width="22.28515625" style="6" customWidth="1"/>
    <col min="2" max="2" width="12" style="6" bestFit="1" customWidth="1"/>
    <col min="3" max="3" width="9.5703125" style="6" bestFit="1" customWidth="1"/>
    <col min="4" max="5" width="11.28515625" style="6" bestFit="1" customWidth="1"/>
    <col min="6" max="6" width="11.140625" style="6" bestFit="1" customWidth="1"/>
    <col min="7" max="7" width="7.42578125" style="6" bestFit="1" customWidth="1"/>
    <col min="8" max="8" width="9" style="6" bestFit="1" customWidth="1"/>
    <col min="9" max="9" width="7" style="6" bestFit="1" customWidth="1"/>
    <col min="10" max="10" width="6.140625" style="6" bestFit="1" customWidth="1"/>
    <col min="11" max="11" width="8" style="6" bestFit="1" customWidth="1"/>
    <col min="12" max="12" width="7.28515625" style="6" bestFit="1" customWidth="1"/>
    <col min="13" max="13" width="12.28515625" style="6" bestFit="1" customWidth="1"/>
    <col min="14" max="14" width="9.85546875" style="6" customWidth="1"/>
    <col min="15" max="15" width="8.42578125" style="6" bestFit="1" customWidth="1"/>
    <col min="16" max="16" width="7.28515625" style="6" bestFit="1" customWidth="1"/>
    <col min="17" max="17" width="7.85546875" style="6" bestFit="1" customWidth="1"/>
    <col min="18" max="18" width="5.85546875" style="6" bestFit="1" customWidth="1"/>
    <col min="19" max="19" width="9.5703125" style="6" bestFit="1" customWidth="1"/>
    <col min="20" max="20" width="7.7109375" style="6" customWidth="1"/>
    <col min="21" max="21" width="13.85546875" style="6" bestFit="1" customWidth="1"/>
    <col min="22" max="22" width="10.5703125" style="6" bestFit="1" customWidth="1"/>
    <col min="23" max="26" width="8.85546875" style="6"/>
    <col min="27" max="27" width="11.7109375" style="6" hidden="1" customWidth="1"/>
    <col min="28" max="16384" width="8.85546875" style="6"/>
  </cols>
  <sheetData>
    <row r="2" spans="1:27" ht="14.45" x14ac:dyDescent="0.3">
      <c r="A2" s="6" t="s">
        <v>0</v>
      </c>
      <c r="B2" s="6" t="s">
        <v>14</v>
      </c>
      <c r="C2" s="6" t="s">
        <v>15</v>
      </c>
      <c r="D2" s="6" t="s">
        <v>124</v>
      </c>
      <c r="E2" s="6" t="s">
        <v>145</v>
      </c>
      <c r="F2" s="6" t="s">
        <v>143</v>
      </c>
      <c r="G2" s="6" t="s">
        <v>16</v>
      </c>
      <c r="H2" s="6" t="s">
        <v>17</v>
      </c>
      <c r="I2" s="6" t="s">
        <v>18</v>
      </c>
      <c r="J2" s="6" t="s">
        <v>1</v>
      </c>
      <c r="K2" s="6" t="s">
        <v>19</v>
      </c>
      <c r="L2" s="6" t="s">
        <v>20</v>
      </c>
      <c r="M2" s="6" t="s">
        <v>166</v>
      </c>
      <c r="N2" s="6" t="s">
        <v>91</v>
      </c>
      <c r="O2" s="6" t="s">
        <v>144</v>
      </c>
      <c r="P2" s="6" t="s">
        <v>21</v>
      </c>
      <c r="Q2" s="6" t="s">
        <v>12</v>
      </c>
      <c r="R2" s="6" t="s">
        <v>13</v>
      </c>
      <c r="S2" s="6" t="s">
        <v>2</v>
      </c>
      <c r="T2" s="6" t="s">
        <v>121</v>
      </c>
      <c r="U2" s="6" t="s">
        <v>102</v>
      </c>
      <c r="V2" s="6" t="s">
        <v>100</v>
      </c>
      <c r="W2" s="6" t="s">
        <v>101</v>
      </c>
      <c r="X2" s="6" t="s">
        <v>104</v>
      </c>
      <c r="Y2" s="6" t="s">
        <v>155</v>
      </c>
      <c r="AA2" s="6">
        <v>1000</v>
      </c>
    </row>
    <row r="3" spans="1:27" ht="14.45" x14ac:dyDescent="0.3">
      <c r="A3" s="6" t="s">
        <v>72</v>
      </c>
      <c r="B3" s="6" t="s">
        <v>35</v>
      </c>
      <c r="C3" s="6" t="s">
        <v>36</v>
      </c>
      <c r="D3" s="6" t="s">
        <v>33</v>
      </c>
      <c r="E3" s="6" t="s">
        <v>34</v>
      </c>
      <c r="F3" s="6" t="s">
        <v>37</v>
      </c>
      <c r="G3" s="6" t="s">
        <v>38</v>
      </c>
      <c r="H3" s="6" t="s">
        <v>39</v>
      </c>
      <c r="I3" s="6" t="s">
        <v>40</v>
      </c>
      <c r="J3" s="6" t="s">
        <v>41</v>
      </c>
      <c r="K3" s="6" t="s">
        <v>42</v>
      </c>
      <c r="L3" s="6" t="s">
        <v>43</v>
      </c>
      <c r="M3" s="6" t="s">
        <v>44</v>
      </c>
      <c r="N3" s="6" t="s">
        <v>92</v>
      </c>
      <c r="O3" s="6" t="s">
        <v>45</v>
      </c>
      <c r="P3" s="6" t="s">
        <v>46</v>
      </c>
      <c r="Q3" s="6" t="s">
        <v>47</v>
      </c>
      <c r="T3" s="6" t="s">
        <v>48</v>
      </c>
      <c r="U3" s="6" t="s">
        <v>103</v>
      </c>
      <c r="X3" s="6" t="s">
        <v>103</v>
      </c>
    </row>
    <row r="4" spans="1:27" ht="14.45" x14ac:dyDescent="0.3">
      <c r="A4" s="6" t="s">
        <v>154</v>
      </c>
      <c r="B4" s="7">
        <f t="shared" ref="B4:V4" si="0">B11^0.5*1.229</f>
        <v>194.32196221734694</v>
      </c>
      <c r="C4" s="7">
        <f t="shared" si="0"/>
        <v>209.29115843723551</v>
      </c>
      <c r="D4" s="7">
        <f t="shared" si="0"/>
        <v>313.33474911027668</v>
      </c>
      <c r="E4" s="7">
        <f t="shared" si="0"/>
        <v>301.04228938805261</v>
      </c>
      <c r="F4" s="7">
        <f t="shared" si="0"/>
        <v>292.12996508403586</v>
      </c>
      <c r="G4" s="7">
        <f>G11^0.5*1.229</f>
        <v>150.5211446940263</v>
      </c>
      <c r="H4" s="7">
        <f t="shared" si="0"/>
        <v>173.80684681565339</v>
      </c>
      <c r="I4" s="7">
        <f t="shared" si="0"/>
        <v>274.81275443472418</v>
      </c>
      <c r="J4" s="7">
        <f t="shared" si="0"/>
        <v>145.41724106858857</v>
      </c>
      <c r="K4" s="7">
        <f t="shared" si="0"/>
        <v>109.92510177388968</v>
      </c>
      <c r="L4" s="7">
        <f t="shared" si="0"/>
        <v>27.48127544347242</v>
      </c>
      <c r="M4" s="7">
        <f t="shared" si="0"/>
        <v>173.80684681565339</v>
      </c>
      <c r="N4" s="7">
        <f t="shared" si="0"/>
        <v>150.5211446940263</v>
      </c>
      <c r="O4" s="7">
        <f t="shared" si="0"/>
        <v>171.62051013792032</v>
      </c>
      <c r="P4" s="7">
        <f t="shared" si="0"/>
        <v>245.8</v>
      </c>
      <c r="Q4" s="7">
        <f t="shared" si="0"/>
        <v>38.864392443469384</v>
      </c>
      <c r="R4" s="7">
        <f t="shared" si="0"/>
        <v>24.580000000000002</v>
      </c>
      <c r="S4" s="7">
        <f t="shared" si="0"/>
        <v>171.62051013792032</v>
      </c>
      <c r="T4" s="7">
        <f t="shared" si="0"/>
        <v>122.9</v>
      </c>
      <c r="U4" s="7">
        <f t="shared" si="0"/>
        <v>86.03</v>
      </c>
      <c r="V4" s="7">
        <f t="shared" si="0"/>
        <v>12.593502491364347</v>
      </c>
      <c r="W4" s="7">
        <f>W11^0.5*1.229</f>
        <v>6.7315102317384925</v>
      </c>
      <c r="X4" s="7">
        <f t="shared" ref="X4:Y4" si="1">X11^0.5*1.229</f>
        <v>67.315102317384927</v>
      </c>
      <c r="Y4" s="7">
        <f t="shared" si="1"/>
        <v>274.81275443472418</v>
      </c>
      <c r="Z4" s="7"/>
    </row>
    <row r="5" spans="1:27" ht="14.45" x14ac:dyDescent="0.3">
      <c r="A5" s="6" t="s">
        <v>73</v>
      </c>
      <c r="B5" s="6">
        <v>26.7</v>
      </c>
      <c r="C5" s="6">
        <v>28</v>
      </c>
      <c r="D5" s="6">
        <v>44.4</v>
      </c>
      <c r="E5" s="6">
        <v>47.6</v>
      </c>
      <c r="F5" s="6">
        <v>47.6</v>
      </c>
      <c r="G5" s="6">
        <v>11.8</v>
      </c>
      <c r="H5" s="6">
        <v>30.03</v>
      </c>
      <c r="I5" s="6">
        <v>36</v>
      </c>
      <c r="J5" s="6">
        <v>3</v>
      </c>
      <c r="K5" s="6">
        <v>6</v>
      </c>
      <c r="L5" s="6">
        <v>1.3</v>
      </c>
      <c r="M5" s="6">
        <v>35</v>
      </c>
      <c r="N5" s="6">
        <v>5.6</v>
      </c>
      <c r="O5" s="6">
        <v>8.1999999999999993</v>
      </c>
      <c r="P5" s="6">
        <v>38.200000000000003</v>
      </c>
      <c r="Q5" s="6">
        <v>1.3</v>
      </c>
      <c r="R5" s="6">
        <v>3</v>
      </c>
      <c r="S5" s="6">
        <v>5.0999999999999996</v>
      </c>
      <c r="T5" s="6">
        <v>4.5999999999999996</v>
      </c>
      <c r="U5" s="6">
        <v>115</v>
      </c>
      <c r="V5" s="8">
        <f>V11</f>
        <v>105</v>
      </c>
      <c r="W5" s="7">
        <f>W11</f>
        <v>30</v>
      </c>
      <c r="X5" s="6">
        <v>76</v>
      </c>
      <c r="Y5" s="6">
        <v>44</v>
      </c>
    </row>
    <row r="6" spans="1:27" ht="14.45" x14ac:dyDescent="0.3">
      <c r="A6" s="6" t="s">
        <v>22</v>
      </c>
      <c r="B6" s="6">
        <v>7.3</v>
      </c>
      <c r="C6" s="6">
        <v>7.3</v>
      </c>
      <c r="D6" s="6">
        <v>15.2</v>
      </c>
      <c r="E6" s="6">
        <v>15.4</v>
      </c>
      <c r="F6" s="6">
        <v>15.4</v>
      </c>
      <c r="G6" s="6">
        <v>3.3</v>
      </c>
      <c r="H6" s="6">
        <v>9.7100000000000009</v>
      </c>
      <c r="I6" s="6">
        <v>12.5</v>
      </c>
      <c r="J6" s="6">
        <v>0.3</v>
      </c>
      <c r="K6" s="6">
        <v>1.6</v>
      </c>
      <c r="L6" s="6">
        <v>1.1000000000000001</v>
      </c>
      <c r="M6" s="6">
        <v>8.1</v>
      </c>
      <c r="N6" s="6">
        <v>2</v>
      </c>
      <c r="P6" s="6">
        <v>10.4</v>
      </c>
      <c r="R6" s="6">
        <v>0.5</v>
      </c>
      <c r="X6" s="6">
        <v>25</v>
      </c>
    </row>
    <row r="7" spans="1:27" ht="14.45" x14ac:dyDescent="0.3">
      <c r="A7" s="6" t="s">
        <v>23</v>
      </c>
      <c r="B7" s="6">
        <v>55</v>
      </c>
      <c r="C7" s="6">
        <v>56</v>
      </c>
      <c r="D7" s="6">
        <v>116.2</v>
      </c>
      <c r="E7" s="6">
        <v>130.9</v>
      </c>
      <c r="F7" s="6">
        <v>130.9</v>
      </c>
      <c r="G7" s="6">
        <v>20.399999999999999</v>
      </c>
      <c r="H7" s="6">
        <v>27.5</v>
      </c>
      <c r="I7" s="6">
        <v>66</v>
      </c>
      <c r="J7" s="6">
        <v>4.5</v>
      </c>
      <c r="K7" s="6">
        <v>7</v>
      </c>
      <c r="L7" s="6">
        <v>1.3</v>
      </c>
      <c r="M7" s="6">
        <v>36</v>
      </c>
      <c r="N7" s="6">
        <v>9.6</v>
      </c>
      <c r="O7" s="6">
        <v>16</v>
      </c>
      <c r="P7" s="6">
        <v>62.1</v>
      </c>
      <c r="Q7" s="6">
        <v>2.2999999999999998</v>
      </c>
      <c r="R7" s="6">
        <v>3</v>
      </c>
      <c r="S7" s="6">
        <v>10.199999999999999</v>
      </c>
      <c r="T7" s="6">
        <v>9.1999999999999993</v>
      </c>
      <c r="U7" s="6">
        <v>36.5</v>
      </c>
      <c r="X7" s="6">
        <v>25</v>
      </c>
      <c r="Y7" s="6">
        <v>66</v>
      </c>
      <c r="AA7" s="9"/>
    </row>
    <row r="8" spans="1:27" ht="14.45" hidden="1" x14ac:dyDescent="0.3">
      <c r="A8" s="6" t="s">
        <v>24</v>
      </c>
      <c r="B8" s="6">
        <v>123.3</v>
      </c>
      <c r="C8" s="6">
        <v>123.3</v>
      </c>
      <c r="N8" s="6">
        <v>6.1</v>
      </c>
      <c r="P8" s="6">
        <v>389</v>
      </c>
    </row>
    <row r="9" spans="1:27" ht="14.45" x14ac:dyDescent="0.3">
      <c r="A9" s="6" t="s">
        <v>74</v>
      </c>
      <c r="B9" s="6">
        <v>950</v>
      </c>
      <c r="C9" s="6">
        <v>950</v>
      </c>
      <c r="D9" s="6">
        <v>11350</v>
      </c>
      <c r="E9" s="6">
        <v>14950</v>
      </c>
      <c r="F9" s="6">
        <v>14950</v>
      </c>
      <c r="G9" s="6">
        <v>300</v>
      </c>
      <c r="H9" s="6">
        <v>2073</v>
      </c>
      <c r="I9" s="6">
        <v>4900</v>
      </c>
      <c r="J9" s="6">
        <v>3</v>
      </c>
      <c r="K9" s="6">
        <v>60</v>
      </c>
      <c r="L9" s="6">
        <v>15</v>
      </c>
      <c r="M9" s="6">
        <v>1650</v>
      </c>
      <c r="N9" s="6">
        <v>28.9</v>
      </c>
      <c r="O9" s="6">
        <v>81</v>
      </c>
      <c r="P9" s="6">
        <v>20500</v>
      </c>
      <c r="Q9" s="6">
        <v>0.9</v>
      </c>
      <c r="R9" s="6">
        <v>5</v>
      </c>
      <c r="S9" s="6">
        <v>39.700000000000003</v>
      </c>
      <c r="T9" s="6">
        <v>10</v>
      </c>
    </row>
    <row r="10" spans="1:27" ht="14.45" x14ac:dyDescent="0.3">
      <c r="A10" s="6" t="s">
        <v>25</v>
      </c>
      <c r="B10" s="6">
        <v>450</v>
      </c>
      <c r="C10" s="6">
        <v>1075</v>
      </c>
      <c r="D10" s="6">
        <v>2000</v>
      </c>
      <c r="E10" s="6">
        <v>3000</v>
      </c>
      <c r="F10" s="6">
        <v>3200</v>
      </c>
      <c r="G10" s="6">
        <v>80</v>
      </c>
      <c r="H10" s="6">
        <v>600</v>
      </c>
      <c r="I10" s="6">
        <v>3850</v>
      </c>
      <c r="J10" s="6">
        <f>6.5/16</f>
        <v>0.40625</v>
      </c>
      <c r="K10" s="6">
        <v>20</v>
      </c>
      <c r="L10" s="6">
        <v>2</v>
      </c>
      <c r="M10" s="6">
        <v>2500</v>
      </c>
      <c r="N10" s="6">
        <v>10</v>
      </c>
      <c r="O10" s="6">
        <v>39</v>
      </c>
      <c r="P10" s="6">
        <v>4500</v>
      </c>
      <c r="Q10" s="6">
        <v>0.2</v>
      </c>
      <c r="S10" s="6">
        <v>7.5</v>
      </c>
      <c r="T10" s="6">
        <v>1</v>
      </c>
      <c r="U10" s="6">
        <v>1100</v>
      </c>
      <c r="V10" s="6">
        <v>300</v>
      </c>
      <c r="W10" s="6">
        <v>300</v>
      </c>
      <c r="X10" s="6">
        <v>302</v>
      </c>
      <c r="Y10" s="6">
        <v>6500</v>
      </c>
    </row>
    <row r="11" spans="1:27" ht="14.45" x14ac:dyDescent="0.3">
      <c r="A11" s="6" t="s">
        <v>27</v>
      </c>
      <c r="B11" s="6">
        <v>25000</v>
      </c>
      <c r="C11" s="6">
        <v>29000</v>
      </c>
      <c r="D11" s="6">
        <v>65000</v>
      </c>
      <c r="E11" s="6">
        <v>60000</v>
      </c>
      <c r="F11" s="6">
        <v>56500</v>
      </c>
      <c r="G11" s="6">
        <v>15000</v>
      </c>
      <c r="H11" s="6">
        <v>20000</v>
      </c>
      <c r="I11" s="6">
        <v>50000</v>
      </c>
      <c r="J11" s="6">
        <v>14000</v>
      </c>
      <c r="K11" s="6">
        <v>8000</v>
      </c>
      <c r="L11" s="6">
        <v>500</v>
      </c>
      <c r="M11" s="6">
        <v>20000</v>
      </c>
      <c r="N11" s="6">
        <v>15000</v>
      </c>
      <c r="O11" s="6">
        <v>19500</v>
      </c>
      <c r="P11" s="6">
        <v>40000</v>
      </c>
      <c r="Q11" s="6">
        <v>1000</v>
      </c>
      <c r="R11" s="6">
        <v>400</v>
      </c>
      <c r="S11" s="6">
        <v>19500</v>
      </c>
      <c r="T11" s="6">
        <v>10000</v>
      </c>
      <c r="U11" s="6">
        <v>4900</v>
      </c>
      <c r="V11" s="6">
        <v>105</v>
      </c>
      <c r="W11" s="6">
        <v>30</v>
      </c>
      <c r="X11" s="6">
        <v>3000</v>
      </c>
      <c r="Y11" s="6">
        <v>50000</v>
      </c>
    </row>
    <row r="12" spans="1:27" ht="14.45" x14ac:dyDescent="0.3">
      <c r="A12" s="6" t="s">
        <v>26</v>
      </c>
      <c r="B12" s="6">
        <v>40</v>
      </c>
      <c r="C12" s="6">
        <v>25</v>
      </c>
      <c r="D12" s="6">
        <v>32</v>
      </c>
      <c r="E12" s="6">
        <v>32</v>
      </c>
      <c r="F12" s="6">
        <v>24</v>
      </c>
      <c r="G12" s="6">
        <v>5</v>
      </c>
      <c r="H12" s="6">
        <v>8</v>
      </c>
      <c r="I12" s="6">
        <v>27</v>
      </c>
      <c r="J12" s="6">
        <v>1.5</v>
      </c>
      <c r="K12" s="6">
        <v>4</v>
      </c>
      <c r="L12" s="6">
        <v>1</v>
      </c>
      <c r="M12" s="6">
        <v>20</v>
      </c>
      <c r="N12" s="6">
        <v>10</v>
      </c>
      <c r="O12" s="6">
        <v>13</v>
      </c>
      <c r="P12" s="6">
        <v>9</v>
      </c>
      <c r="Q12" s="6">
        <v>0.75</v>
      </c>
      <c r="R12" s="6">
        <v>0.6</v>
      </c>
      <c r="S12" s="6">
        <v>24</v>
      </c>
      <c r="T12" s="6">
        <v>3.5</v>
      </c>
      <c r="U12" s="6">
        <v>480</v>
      </c>
      <c r="V12" s="6">
        <v>999</v>
      </c>
      <c r="W12" s="6">
        <v>999</v>
      </c>
      <c r="X12" s="6">
        <f>14*24</f>
        <v>336</v>
      </c>
      <c r="Y12" s="6">
        <v>18</v>
      </c>
    </row>
    <row r="13" spans="1:27" ht="14.45" x14ac:dyDescent="0.3">
      <c r="A13" s="6" t="s">
        <v>28</v>
      </c>
      <c r="B13" s="6">
        <v>675</v>
      </c>
      <c r="C13" s="6">
        <v>400</v>
      </c>
      <c r="D13" s="6">
        <v>9500</v>
      </c>
      <c r="E13" s="6">
        <v>8700</v>
      </c>
      <c r="F13" s="6">
        <v>8200</v>
      </c>
      <c r="G13" s="6">
        <v>59</v>
      </c>
      <c r="H13" s="6">
        <v>300</v>
      </c>
      <c r="I13" s="6">
        <v>1000</v>
      </c>
      <c r="J13" s="6">
        <v>5.4</v>
      </c>
      <c r="K13" s="6">
        <v>40</v>
      </c>
      <c r="L13" s="6">
        <v>6</v>
      </c>
      <c r="M13" s="6">
        <v>2250</v>
      </c>
      <c r="O13" s="6">
        <v>55</v>
      </c>
      <c r="P13" s="6">
        <v>1600</v>
      </c>
      <c r="Q13" s="6">
        <v>2.7</v>
      </c>
      <c r="R13" s="6">
        <v>3</v>
      </c>
      <c r="S13" s="6">
        <v>55</v>
      </c>
      <c r="T13" s="6">
        <v>9</v>
      </c>
      <c r="U13" s="6">
        <v>0</v>
      </c>
      <c r="V13" s="6">
        <v>0</v>
      </c>
      <c r="W13" s="6">
        <v>0</v>
      </c>
      <c r="X13" s="6">
        <v>0</v>
      </c>
    </row>
    <row r="14" spans="1:27" ht="14.45" x14ac:dyDescent="0.3">
      <c r="A14" s="6" t="s">
        <v>151</v>
      </c>
      <c r="B14" s="6">
        <v>120</v>
      </c>
      <c r="C14" s="6">
        <v>167</v>
      </c>
      <c r="D14" s="6">
        <v>340</v>
      </c>
      <c r="E14" s="6">
        <v>310</v>
      </c>
      <c r="F14" s="6">
        <v>331</v>
      </c>
      <c r="G14" s="6">
        <v>110</v>
      </c>
      <c r="H14" s="6">
        <v>115</v>
      </c>
      <c r="I14" s="6">
        <v>240</v>
      </c>
      <c r="J14" s="6">
        <v>44</v>
      </c>
      <c r="K14" s="6">
        <v>39</v>
      </c>
      <c r="L14" s="6">
        <v>39</v>
      </c>
      <c r="M14" s="6">
        <v>165</v>
      </c>
      <c r="N14" s="6">
        <v>80</v>
      </c>
      <c r="O14" s="6">
        <v>90</v>
      </c>
      <c r="P14" s="6">
        <v>365</v>
      </c>
      <c r="Q14" s="6">
        <v>35</v>
      </c>
      <c r="R14" s="6">
        <v>30</v>
      </c>
      <c r="S14" s="6">
        <v>80</v>
      </c>
      <c r="T14" s="6">
        <v>45</v>
      </c>
      <c r="U14" s="6">
        <f t="shared" ref="U14:X14" si="2">ROUND(U40/1.15078,0)</f>
        <v>0</v>
      </c>
      <c r="V14" s="6">
        <f t="shared" si="2"/>
        <v>0</v>
      </c>
      <c r="W14" s="6">
        <f t="shared" si="2"/>
        <v>0</v>
      </c>
      <c r="X14" s="6">
        <f t="shared" si="2"/>
        <v>0</v>
      </c>
      <c r="Y14" s="6">
        <v>400</v>
      </c>
    </row>
    <row r="15" spans="1:27" ht="14.45" x14ac:dyDescent="0.3">
      <c r="A15" s="6" t="s">
        <v>75</v>
      </c>
      <c r="B15" s="6">
        <v>5.2409999999999997</v>
      </c>
      <c r="C15" s="6">
        <v>13.156000000000001</v>
      </c>
      <c r="D15" s="6">
        <v>80.037999999999997</v>
      </c>
      <c r="E15" s="6">
        <v>80.037999999999997</v>
      </c>
      <c r="G15" s="6">
        <v>3.7440000000000002</v>
      </c>
      <c r="H15" s="6">
        <v>9.57</v>
      </c>
      <c r="I15" s="6">
        <v>12.72</v>
      </c>
      <c r="J15" s="6">
        <v>6.4000000000000001E-2</v>
      </c>
      <c r="K15" s="6">
        <v>0.36599999999999999</v>
      </c>
      <c r="L15" s="6">
        <v>0.26100000000000001</v>
      </c>
      <c r="O15" s="6">
        <v>1.0209999999999999</v>
      </c>
      <c r="Q15" s="6">
        <v>5.0999999999999997E-2</v>
      </c>
    </row>
    <row r="16" spans="1:27" ht="14.45" x14ac:dyDescent="0.3">
      <c r="A16" s="6" t="s">
        <v>29</v>
      </c>
      <c r="B16" s="6">
        <v>9.6590000000000007</v>
      </c>
      <c r="C16" s="6">
        <v>19.353999999999999</v>
      </c>
      <c r="D16" s="6">
        <v>112.82599999999999</v>
      </c>
      <c r="E16" s="6">
        <v>112.82599999999999</v>
      </c>
      <c r="F16" s="6">
        <v>142.316</v>
      </c>
      <c r="G16" s="6">
        <v>3.7810000000000001</v>
      </c>
      <c r="H16" s="6">
        <v>13.551</v>
      </c>
      <c r="I16" s="6">
        <v>19.338000000000001</v>
      </c>
      <c r="J16" s="6">
        <v>4.2999999999999997E-2</v>
      </c>
      <c r="K16" s="6">
        <v>0.36799999999999999</v>
      </c>
      <c r="L16" s="6">
        <v>0.26100000000000001</v>
      </c>
      <c r="O16" s="6">
        <v>1.988</v>
      </c>
      <c r="Q16" s="6">
        <v>5.6000000000000001E-2</v>
      </c>
    </row>
    <row r="17" spans="1:25" ht="14.45" x14ac:dyDescent="0.3">
      <c r="A17" s="6" t="s">
        <v>30</v>
      </c>
      <c r="B17" s="6">
        <v>9.6590000000000007</v>
      </c>
      <c r="C17" s="6">
        <v>20.582000000000001</v>
      </c>
      <c r="D17" s="6">
        <v>123.553</v>
      </c>
      <c r="E17" s="6">
        <v>123.553</v>
      </c>
      <c r="F17" s="6">
        <v>162.58699999999999</v>
      </c>
      <c r="G17" s="6">
        <v>3.919</v>
      </c>
      <c r="H17" s="6">
        <v>14.622</v>
      </c>
      <c r="I17" s="6">
        <v>20.462</v>
      </c>
      <c r="J17" s="6">
        <v>4.3999999999999997E-2</v>
      </c>
      <c r="K17" s="6">
        <v>0.39300000000000002</v>
      </c>
      <c r="L17" s="6">
        <v>0.26100000000000001</v>
      </c>
      <c r="O17" s="6">
        <v>2.0169999999999999</v>
      </c>
      <c r="Q17" s="6">
        <v>5.6000000000000001E-2</v>
      </c>
    </row>
    <row r="18" spans="1:25" ht="14.45" hidden="1" x14ac:dyDescent="0.3">
      <c r="A18" s="6" t="s">
        <v>31</v>
      </c>
    </row>
    <row r="19" spans="1:25" ht="14.45" hidden="1" x14ac:dyDescent="0.3">
      <c r="A19" s="6" t="s">
        <v>32</v>
      </c>
      <c r="B19" s="6">
        <v>11.32</v>
      </c>
      <c r="C19" s="6">
        <v>23.713000000000001</v>
      </c>
      <c r="D19" s="6">
        <v>196.559</v>
      </c>
      <c r="E19" s="6">
        <v>196.559</v>
      </c>
      <c r="F19" s="6">
        <v>207.16</v>
      </c>
      <c r="G19" s="6">
        <v>4.93</v>
      </c>
      <c r="H19" s="6">
        <v>18.658000000000001</v>
      </c>
      <c r="I19" s="6">
        <v>22.495999999999999</v>
      </c>
      <c r="J19" s="6">
        <v>4.8000000000000001E-2</v>
      </c>
      <c r="K19" s="6">
        <v>0.39300000000000002</v>
      </c>
      <c r="L19" s="6">
        <v>0.71299999999999997</v>
      </c>
      <c r="M19" s="6">
        <v>16.988</v>
      </c>
      <c r="O19" s="6">
        <v>5.4139999999999997</v>
      </c>
      <c r="P19" s="6">
        <v>731.45</v>
      </c>
      <c r="Q19" s="6">
        <v>5.6000000000000001E-2</v>
      </c>
      <c r="V19" s="6">
        <f>15.1/25</f>
        <v>0.60399999999999998</v>
      </c>
    </row>
    <row r="20" spans="1:25" ht="14.45" hidden="1" x14ac:dyDescent="0.3">
      <c r="A20" s="6" t="s">
        <v>6</v>
      </c>
    </row>
    <row r="21" spans="1:25" ht="14.45" hidden="1" x14ac:dyDescent="0.3">
      <c r="A21" s="6" t="s">
        <v>7</v>
      </c>
    </row>
    <row r="22" spans="1:25" ht="14.45" x14ac:dyDescent="0.3">
      <c r="A22" s="6" t="s">
        <v>3</v>
      </c>
      <c r="B22" s="6" t="s">
        <v>82</v>
      </c>
      <c r="C22" s="6" t="s">
        <v>82</v>
      </c>
      <c r="D22" s="6" t="s">
        <v>82</v>
      </c>
      <c r="E22" s="6" t="s">
        <v>82</v>
      </c>
      <c r="F22" s="6" t="s">
        <v>82</v>
      </c>
      <c r="G22" s="6" t="s">
        <v>81</v>
      </c>
      <c r="H22" s="6" t="s">
        <v>80</v>
      </c>
      <c r="I22" s="6" t="s">
        <v>82</v>
      </c>
      <c r="J22" s="6" t="s">
        <v>89</v>
      </c>
      <c r="K22" s="6" t="s">
        <v>81</v>
      </c>
      <c r="L22" s="6" t="s">
        <v>80</v>
      </c>
      <c r="M22" s="6" t="s">
        <v>80</v>
      </c>
      <c r="N22" s="6" t="s">
        <v>81</v>
      </c>
      <c r="O22" s="6" t="s">
        <v>81</v>
      </c>
      <c r="P22" s="6" t="s">
        <v>125</v>
      </c>
      <c r="Q22" s="6" t="s">
        <v>89</v>
      </c>
      <c r="R22" s="6" t="s">
        <v>80</v>
      </c>
      <c r="S22" s="6" t="s">
        <v>81</v>
      </c>
      <c r="T22" s="6" t="s">
        <v>89</v>
      </c>
      <c r="U22" s="6" t="s">
        <v>80</v>
      </c>
      <c r="V22" s="6" t="s">
        <v>80</v>
      </c>
      <c r="W22" s="6" t="s">
        <v>80</v>
      </c>
      <c r="X22" s="6" t="s">
        <v>80</v>
      </c>
      <c r="Y22" s="6" t="s">
        <v>82</v>
      </c>
    </row>
    <row r="23" spans="1:25" ht="14.45" x14ac:dyDescent="0.3">
      <c r="A23" s="6" t="s">
        <v>4</v>
      </c>
      <c r="B23" s="6" t="s">
        <v>82</v>
      </c>
      <c r="C23" s="6" t="s">
        <v>82</v>
      </c>
      <c r="D23" s="6" t="s">
        <v>82</v>
      </c>
      <c r="E23" s="6" t="s">
        <v>82</v>
      </c>
      <c r="F23" s="6" t="s">
        <v>82</v>
      </c>
      <c r="G23" s="6" t="s">
        <v>86</v>
      </c>
      <c r="H23" s="6" t="s">
        <v>80</v>
      </c>
      <c r="I23" s="6" t="s">
        <v>82</v>
      </c>
      <c r="J23" s="6" t="s">
        <v>83</v>
      </c>
      <c r="K23" s="6" t="s">
        <v>93</v>
      </c>
      <c r="L23" s="6" t="s">
        <v>80</v>
      </c>
      <c r="M23" s="6" t="s">
        <v>80</v>
      </c>
      <c r="N23" s="6" t="s">
        <v>85</v>
      </c>
      <c r="O23" s="6" t="s">
        <v>84</v>
      </c>
      <c r="P23" s="6" t="s">
        <v>86</v>
      </c>
      <c r="Q23" s="6" t="s">
        <v>83</v>
      </c>
      <c r="R23" s="6" t="s">
        <v>80</v>
      </c>
      <c r="S23" s="6" t="s">
        <v>84</v>
      </c>
      <c r="T23" s="6" t="s">
        <v>83</v>
      </c>
      <c r="U23" s="6" t="s">
        <v>80</v>
      </c>
      <c r="V23" s="6" t="s">
        <v>80</v>
      </c>
      <c r="W23" s="6" t="s">
        <v>80</v>
      </c>
      <c r="X23" s="6" t="s">
        <v>80</v>
      </c>
      <c r="Y23" s="6" t="s">
        <v>82</v>
      </c>
    </row>
    <row r="24" spans="1:25" ht="14.45" x14ac:dyDescent="0.3">
      <c r="A24" s="6" t="s">
        <v>5</v>
      </c>
      <c r="B24" s="6" t="s">
        <v>88</v>
      </c>
      <c r="C24" s="6" t="s">
        <v>88</v>
      </c>
      <c r="D24" s="6" t="s">
        <v>88</v>
      </c>
      <c r="E24" s="6" t="s">
        <v>88</v>
      </c>
      <c r="F24" s="6" t="s">
        <v>88</v>
      </c>
      <c r="G24" s="6" t="s">
        <v>88</v>
      </c>
      <c r="H24" s="6" t="s">
        <v>88</v>
      </c>
      <c r="I24" s="6" t="s">
        <v>88</v>
      </c>
      <c r="J24" s="6" t="s">
        <v>88</v>
      </c>
      <c r="K24" s="6" t="s">
        <v>88</v>
      </c>
      <c r="L24" s="6" t="s">
        <v>88</v>
      </c>
      <c r="M24" s="6" t="s">
        <v>88</v>
      </c>
      <c r="N24" s="6" t="s">
        <v>88</v>
      </c>
      <c r="O24" s="6" t="s">
        <v>88</v>
      </c>
      <c r="P24" s="6" t="s">
        <v>94</v>
      </c>
      <c r="Q24" s="6" t="s">
        <v>88</v>
      </c>
      <c r="R24" s="6" t="s">
        <v>88</v>
      </c>
      <c r="S24" s="6" t="s">
        <v>88</v>
      </c>
      <c r="T24" s="6" t="s">
        <v>88</v>
      </c>
      <c r="U24" s="6" t="s">
        <v>88</v>
      </c>
      <c r="V24" s="6" t="s">
        <v>88</v>
      </c>
      <c r="W24" s="6" t="s">
        <v>88</v>
      </c>
      <c r="X24" s="6" t="s">
        <v>88</v>
      </c>
      <c r="Y24" s="6" t="s">
        <v>94</v>
      </c>
    </row>
    <row r="25" spans="1:25" s="10" customFormat="1" ht="14.45" x14ac:dyDescent="0.3">
      <c r="A25" s="6" t="s">
        <v>95</v>
      </c>
      <c r="B25" s="10">
        <v>2005</v>
      </c>
      <c r="C25" s="10">
        <v>2012</v>
      </c>
      <c r="D25" s="10">
        <v>2005</v>
      </c>
      <c r="E25" s="10">
        <v>2005</v>
      </c>
      <c r="F25" s="10">
        <v>2015</v>
      </c>
      <c r="G25" s="10">
        <v>2002</v>
      </c>
      <c r="H25" s="10">
        <v>2009</v>
      </c>
      <c r="I25" s="10">
        <v>2009</v>
      </c>
      <c r="J25" s="10">
        <v>2003</v>
      </c>
      <c r="K25" s="11" t="s">
        <v>98</v>
      </c>
      <c r="L25" s="10">
        <v>2010</v>
      </c>
      <c r="M25" s="11" t="s">
        <v>98</v>
      </c>
      <c r="N25" s="10">
        <v>2009</v>
      </c>
      <c r="O25" s="10">
        <v>2014</v>
      </c>
      <c r="P25" s="10">
        <v>2019</v>
      </c>
      <c r="Q25" s="10">
        <v>2007</v>
      </c>
      <c r="R25" s="11" t="s">
        <v>98</v>
      </c>
      <c r="S25" s="10">
        <v>2005</v>
      </c>
      <c r="T25" s="10">
        <v>2008</v>
      </c>
      <c r="U25" s="10">
        <v>2004</v>
      </c>
      <c r="V25" s="10">
        <v>2004</v>
      </c>
      <c r="W25" s="10">
        <v>2007</v>
      </c>
      <c r="X25" s="10">
        <v>2010</v>
      </c>
      <c r="Y25" s="10">
        <v>2015</v>
      </c>
    </row>
    <row r="26" spans="1:25" s="10" customFormat="1" ht="14.45" x14ac:dyDescent="0.3">
      <c r="A26" s="6" t="s">
        <v>99</v>
      </c>
      <c r="B26" s="10">
        <f t="shared" ref="B26:J26" si="3">IF(EXACT(B25,"-"),B25,2014-B25)</f>
        <v>9</v>
      </c>
      <c r="C26" s="10">
        <f t="shared" si="3"/>
        <v>2</v>
      </c>
      <c r="D26" s="10">
        <f t="shared" si="3"/>
        <v>9</v>
      </c>
      <c r="E26" s="10">
        <f t="shared" si="3"/>
        <v>9</v>
      </c>
      <c r="F26" s="10">
        <f t="shared" si="3"/>
        <v>-1</v>
      </c>
      <c r="G26" s="10">
        <f t="shared" si="3"/>
        <v>12</v>
      </c>
      <c r="H26" s="10">
        <f t="shared" si="3"/>
        <v>5</v>
      </c>
      <c r="I26" s="10">
        <f t="shared" si="3"/>
        <v>5</v>
      </c>
      <c r="J26" s="10">
        <f t="shared" si="3"/>
        <v>11</v>
      </c>
      <c r="K26" s="10" t="str">
        <f>IF(EXACT(K25,"-"),K25,2014-K25)</f>
        <v>-</v>
      </c>
      <c r="L26" s="10">
        <f t="shared" ref="L26:Y26" si="4">IF(EXACT(L25,"-"),L25,2014-L25)</f>
        <v>4</v>
      </c>
      <c r="M26" s="10" t="str">
        <f t="shared" si="4"/>
        <v>-</v>
      </c>
      <c r="N26" s="10">
        <f t="shared" si="4"/>
        <v>5</v>
      </c>
      <c r="O26" s="10">
        <f t="shared" si="4"/>
        <v>0</v>
      </c>
      <c r="P26" s="10">
        <f t="shared" si="4"/>
        <v>-5</v>
      </c>
      <c r="Q26" s="10">
        <f t="shared" si="4"/>
        <v>7</v>
      </c>
      <c r="R26" s="10" t="str">
        <f t="shared" si="4"/>
        <v>-</v>
      </c>
      <c r="S26" s="10">
        <f t="shared" si="4"/>
        <v>9</v>
      </c>
      <c r="T26" s="10">
        <f t="shared" si="4"/>
        <v>6</v>
      </c>
      <c r="U26" s="10">
        <f t="shared" si="4"/>
        <v>10</v>
      </c>
      <c r="V26" s="10">
        <f t="shared" si="4"/>
        <v>10</v>
      </c>
      <c r="W26" s="10">
        <f t="shared" si="4"/>
        <v>7</v>
      </c>
      <c r="X26" s="10">
        <f t="shared" si="4"/>
        <v>4</v>
      </c>
      <c r="Y26" s="10">
        <f t="shared" si="4"/>
        <v>-1</v>
      </c>
    </row>
    <row r="27" spans="1:25" x14ac:dyDescent="0.25">
      <c r="A27" s="6" t="s">
        <v>96</v>
      </c>
      <c r="B27" s="10">
        <v>2011</v>
      </c>
      <c r="C27" s="10">
        <v>2011</v>
      </c>
      <c r="D27" s="10">
        <v>2011</v>
      </c>
      <c r="E27" s="10">
        <v>2011</v>
      </c>
      <c r="F27" s="10">
        <v>2011</v>
      </c>
      <c r="G27" s="10">
        <v>2011</v>
      </c>
      <c r="H27" s="10">
        <v>2011</v>
      </c>
      <c r="I27" s="10">
        <v>2011</v>
      </c>
      <c r="J27" s="10">
        <v>2011</v>
      </c>
      <c r="K27" s="10">
        <v>2011</v>
      </c>
      <c r="L27" s="10">
        <v>2011</v>
      </c>
      <c r="M27" s="12"/>
      <c r="O27" s="10">
        <v>2011</v>
      </c>
      <c r="P27" s="12"/>
      <c r="Q27" s="10">
        <v>2011</v>
      </c>
      <c r="S27" s="6">
        <v>2007</v>
      </c>
      <c r="V27" s="6">
        <v>2007</v>
      </c>
    </row>
    <row r="28" spans="1:25" ht="14.45" hidden="1" x14ac:dyDescent="0.3">
      <c r="A28" s="6" t="s">
        <v>97</v>
      </c>
      <c r="B28" s="10"/>
      <c r="C28" s="10"/>
      <c r="D28" s="10"/>
      <c r="F28" s="10"/>
      <c r="G28" s="10"/>
      <c r="H28" s="10"/>
      <c r="I28" s="10"/>
      <c r="J28" s="10"/>
      <c r="K28" s="10"/>
      <c r="L28" s="10"/>
      <c r="M28" s="12"/>
      <c r="O28" s="10"/>
      <c r="P28" s="12"/>
      <c r="Q28" s="10"/>
    </row>
    <row r="29" spans="1:25" ht="14.45" hidden="1" x14ac:dyDescent="0.3">
      <c r="A29" s="6" t="s">
        <v>8</v>
      </c>
    </row>
    <row r="30" spans="1:25" x14ac:dyDescent="0.25">
      <c r="A30" s="6" t="s">
        <v>90</v>
      </c>
      <c r="B30" s="6" t="s">
        <v>88</v>
      </c>
      <c r="C30" s="6" t="s">
        <v>88</v>
      </c>
      <c r="D30" s="6" t="s">
        <v>88</v>
      </c>
      <c r="E30" s="6" t="s">
        <v>88</v>
      </c>
      <c r="F30" s="6" t="s">
        <v>94</v>
      </c>
      <c r="G30" s="6" t="s">
        <v>88</v>
      </c>
      <c r="H30" s="6" t="s">
        <v>88</v>
      </c>
      <c r="I30" s="6" t="s">
        <v>88</v>
      </c>
      <c r="J30" s="6" t="s">
        <v>88</v>
      </c>
      <c r="K30" s="6" t="s">
        <v>88</v>
      </c>
      <c r="L30" s="6" t="s">
        <v>88</v>
      </c>
      <c r="M30" s="6" t="s">
        <v>88</v>
      </c>
      <c r="N30" s="6" t="s">
        <v>94</v>
      </c>
      <c r="O30" s="6" t="s">
        <v>88</v>
      </c>
      <c r="P30" s="6" t="s">
        <v>94</v>
      </c>
      <c r="Q30" s="6" t="s">
        <v>88</v>
      </c>
      <c r="R30" s="6" t="s">
        <v>88</v>
      </c>
      <c r="S30" s="6" t="s">
        <v>88</v>
      </c>
      <c r="T30" s="6" t="s">
        <v>88</v>
      </c>
      <c r="U30" s="6" t="s">
        <v>88</v>
      </c>
      <c r="V30" s="6" t="s">
        <v>94</v>
      </c>
      <c r="W30" s="6" t="s">
        <v>94</v>
      </c>
      <c r="X30" s="6" t="s">
        <v>88</v>
      </c>
      <c r="Y30" s="6" t="s">
        <v>88</v>
      </c>
    </row>
    <row r="31" spans="1:25" ht="14.45" hidden="1" x14ac:dyDescent="0.3">
      <c r="A31" s="6" t="s">
        <v>119</v>
      </c>
      <c r="B31" s="6">
        <v>4.79</v>
      </c>
      <c r="E31" s="6">
        <v>3.34</v>
      </c>
      <c r="I31" s="6">
        <v>3.17</v>
      </c>
    </row>
    <row r="32" spans="1:25" ht="14.45" hidden="1" x14ac:dyDescent="0.3">
      <c r="A32" s="6" t="s">
        <v>106</v>
      </c>
      <c r="B32" s="6">
        <v>107</v>
      </c>
      <c r="E32" s="6">
        <v>6</v>
      </c>
      <c r="I32" s="6">
        <v>20</v>
      </c>
    </row>
    <row r="33" spans="1:25" ht="14.45" hidden="1" x14ac:dyDescent="0.3">
      <c r="A33" s="6" t="s">
        <v>105</v>
      </c>
      <c r="B33" s="6">
        <v>1465451</v>
      </c>
      <c r="E33" s="6">
        <v>84409</v>
      </c>
      <c r="I33" s="6">
        <v>468861</v>
      </c>
    </row>
    <row r="34" spans="1:25" x14ac:dyDescent="0.25">
      <c r="A34" s="6" t="s">
        <v>79</v>
      </c>
      <c r="B34" s="6">
        <f>2*DEGREES(ATAN((0.5*MAX(B$7,B$5))/B$11))</f>
        <v>0.12605066408836302</v>
      </c>
      <c r="C34" s="6">
        <f t="shared" ref="C34:Y34" si="5">2*DEGREES(ATAN((0.5*MAX(C$7,C$5))/C$11))</f>
        <v>0.11064009157587271</v>
      </c>
      <c r="D34" s="6">
        <f t="shared" si="5"/>
        <v>0.10242719702033416</v>
      </c>
      <c r="E34" s="6">
        <f t="shared" si="5"/>
        <v>0.12500024272440402</v>
      </c>
      <c r="F34" s="6">
        <f t="shared" si="5"/>
        <v>0.13274361386707836</v>
      </c>
      <c r="G34" s="6">
        <f t="shared" si="5"/>
        <v>7.7922248127377594E-2</v>
      </c>
      <c r="H34" s="6">
        <f t="shared" si="5"/>
        <v>8.6029596776068917E-2</v>
      </c>
      <c r="I34" s="6">
        <f t="shared" si="5"/>
        <v>7.563041797573325E-2</v>
      </c>
      <c r="J34" s="6">
        <f t="shared" si="5"/>
        <v>1.8416500399216031E-2</v>
      </c>
      <c r="K34" s="6">
        <f t="shared" si="5"/>
        <v>5.0133803875306068E-2</v>
      </c>
      <c r="L34" s="6">
        <f t="shared" si="5"/>
        <v>0.14896894281488071</v>
      </c>
      <c r="M34" s="6">
        <f t="shared" si="5"/>
        <v>0.10313237527781287</v>
      </c>
      <c r="N34" s="6">
        <f t="shared" si="5"/>
        <v>3.6669297636727362E-2</v>
      </c>
      <c r="O34" s="6">
        <f t="shared" si="5"/>
        <v>4.7011919014229561E-2</v>
      </c>
      <c r="P34" s="6">
        <f t="shared" si="5"/>
        <v>8.895167982770133E-2</v>
      </c>
      <c r="Q34" s="6">
        <f t="shared" si="5"/>
        <v>0.13178023478698964</v>
      </c>
      <c r="R34" s="6">
        <f t="shared" si="5"/>
        <v>0.42971633206036441</v>
      </c>
      <c r="S34" s="6">
        <f t="shared" si="5"/>
        <v>2.9970099369655008E-2</v>
      </c>
      <c r="T34" s="6">
        <f t="shared" si="5"/>
        <v>5.2712113434074878E-2</v>
      </c>
      <c r="U34" s="6">
        <f t="shared" si="5"/>
        <v>1.3446351482735612</v>
      </c>
      <c r="V34" s="6">
        <f>2*DEGREES(ATAN((0.5*MAX(V$7,V$5))/V$11))</f>
        <v>53.13010235415598</v>
      </c>
      <c r="W34" s="6">
        <f t="shared" si="5"/>
        <v>53.13010235415598</v>
      </c>
      <c r="X34" s="6">
        <f t="shared" si="5"/>
        <v>1.4514154604698861</v>
      </c>
      <c r="Y34" s="6">
        <f t="shared" si="5"/>
        <v>7.563041797573325E-2</v>
      </c>
    </row>
    <row r="35" spans="1:25" ht="14.45" hidden="1" x14ac:dyDescent="0.3">
      <c r="M35" s="6" t="s">
        <v>111</v>
      </c>
      <c r="U35" s="13" t="s">
        <v>112</v>
      </c>
      <c r="V35" s="6" t="s">
        <v>107</v>
      </c>
      <c r="W35" s="6" t="s">
        <v>113</v>
      </c>
    </row>
    <row r="36" spans="1:25" ht="14.45" hidden="1" x14ac:dyDescent="0.3"/>
    <row r="37" spans="1:25" ht="14.45" hidden="1" x14ac:dyDescent="0.3">
      <c r="B37" s="6" t="s">
        <v>120</v>
      </c>
    </row>
    <row r="38" spans="1:25" ht="14.45" hidden="1" x14ac:dyDescent="0.3">
      <c r="B38" s="6" t="s">
        <v>122</v>
      </c>
    </row>
    <row r="39" spans="1:25" ht="14.45" hidden="1" x14ac:dyDescent="0.3">
      <c r="B39" s="6" t="s">
        <v>123</v>
      </c>
    </row>
    <row r="40" spans="1:25" hidden="1" x14ac:dyDescent="0.25"/>
    <row r="41" spans="1:25" hidden="1" x14ac:dyDescent="0.25"/>
    <row r="42" spans="1:25" ht="14.45" hidden="1" x14ac:dyDescent="0.3">
      <c r="A42" s="6" t="s">
        <v>158</v>
      </c>
      <c r="B42" s="13" t="s">
        <v>159</v>
      </c>
      <c r="C42" s="13" t="s">
        <v>157</v>
      </c>
      <c r="E42" s="13" t="s">
        <v>161</v>
      </c>
      <c r="F42" s="13" t="s">
        <v>162</v>
      </c>
      <c r="H42" s="6" t="s">
        <v>168</v>
      </c>
      <c r="I42" s="13" t="s">
        <v>160</v>
      </c>
      <c r="J42" s="13" t="s">
        <v>169</v>
      </c>
      <c r="M42" s="13" t="s">
        <v>167</v>
      </c>
      <c r="O42" s="13" t="s">
        <v>170</v>
      </c>
      <c r="Q42" s="6" t="s">
        <v>171</v>
      </c>
      <c r="S42" s="6" t="s">
        <v>172</v>
      </c>
      <c r="U42" s="6" t="s">
        <v>163</v>
      </c>
      <c r="X42" s="6" t="s">
        <v>164</v>
      </c>
      <c r="Y42" s="13" t="s">
        <v>156</v>
      </c>
    </row>
    <row r="43" spans="1:25" ht="14.45" hidden="1" x14ac:dyDescent="0.3">
      <c r="B43" s="6" t="s">
        <v>174</v>
      </c>
      <c r="C43" s="13" t="s">
        <v>175</v>
      </c>
      <c r="G43" s="6" t="s">
        <v>165</v>
      </c>
      <c r="N43" s="6" t="s">
        <v>165</v>
      </c>
      <c r="S43" s="6" t="s">
        <v>173</v>
      </c>
    </row>
    <row r="44" spans="1:25" ht="14.45" hidden="1" x14ac:dyDescent="0.3"/>
    <row r="45" spans="1:25" ht="14.45" hidden="1" x14ac:dyDescent="0.3">
      <c r="B45" s="6">
        <f>2*DEGREES(ATAN((0.5*MAX(B$7,B$5))/B$11))</f>
        <v>0.12605066408836302</v>
      </c>
      <c r="C45" s="6">
        <f t="shared" ref="C45:Y45" si="6">2*DEGREES(ATAN((0.5*MAX(C$7,C$5))/C$11))</f>
        <v>0.11064009157587271</v>
      </c>
      <c r="D45" s="6">
        <f t="shared" si="6"/>
        <v>0.10242719702033416</v>
      </c>
      <c r="E45" s="6">
        <f t="shared" si="6"/>
        <v>0.12500024272440402</v>
      </c>
      <c r="F45" s="6">
        <f t="shared" si="6"/>
        <v>0.13274361386707836</v>
      </c>
      <c r="G45" s="6">
        <f t="shared" si="6"/>
        <v>7.7922248127377594E-2</v>
      </c>
      <c r="H45" s="6">
        <f t="shared" si="6"/>
        <v>8.6029596776068917E-2</v>
      </c>
      <c r="I45" s="6">
        <f t="shared" si="6"/>
        <v>7.563041797573325E-2</v>
      </c>
      <c r="J45" s="6">
        <f t="shared" si="6"/>
        <v>1.8416500399216031E-2</v>
      </c>
      <c r="K45" s="6">
        <f t="shared" si="6"/>
        <v>5.0133803875306068E-2</v>
      </c>
      <c r="L45" s="6">
        <f t="shared" si="6"/>
        <v>0.14896894281488071</v>
      </c>
      <c r="M45" s="6">
        <f t="shared" si="6"/>
        <v>0.10313237527781287</v>
      </c>
      <c r="N45" s="6">
        <f t="shared" si="6"/>
        <v>3.6669297636727362E-2</v>
      </c>
      <c r="O45" s="6">
        <f t="shared" si="6"/>
        <v>4.7011919014229561E-2</v>
      </c>
      <c r="P45" s="6">
        <f t="shared" si="6"/>
        <v>8.895167982770133E-2</v>
      </c>
      <c r="Q45" s="6">
        <f t="shared" si="6"/>
        <v>0.13178023478698964</v>
      </c>
      <c r="R45" s="6">
        <f t="shared" si="6"/>
        <v>0.42971633206036441</v>
      </c>
      <c r="S45" s="6">
        <f t="shared" si="6"/>
        <v>2.9970099369655008E-2</v>
      </c>
      <c r="T45" s="6">
        <f t="shared" si="6"/>
        <v>5.2712113434074878E-2</v>
      </c>
      <c r="U45" s="6">
        <f t="shared" si="6"/>
        <v>1.3446351482735612</v>
      </c>
      <c r="V45" s="6">
        <f t="shared" si="6"/>
        <v>53.13010235415598</v>
      </c>
      <c r="W45" s="6">
        <f t="shared" si="6"/>
        <v>53.13010235415598</v>
      </c>
      <c r="X45" s="6">
        <f t="shared" si="6"/>
        <v>1.4514154604698861</v>
      </c>
      <c r="Y45" s="6">
        <f t="shared" si="6"/>
        <v>7.563041797573325E-2</v>
      </c>
    </row>
    <row r="46" spans="1:25" ht="14.45" hidden="1" x14ac:dyDescent="0.3">
      <c r="B46" s="6">
        <f t="shared" ref="B46:Q46" si="7">(B5*B7)/2/(B11/$AA$2)^2</f>
        <v>1.1748000000000001</v>
      </c>
      <c r="C46" s="6">
        <f t="shared" si="7"/>
        <v>0.93222354340071345</v>
      </c>
      <c r="D46" s="6">
        <f t="shared" si="7"/>
        <v>0.61056568047337278</v>
      </c>
      <c r="E46" s="6">
        <f t="shared" si="7"/>
        <v>0.86539444444444447</v>
      </c>
      <c r="F46" s="6">
        <f t="shared" si="7"/>
        <v>0.9759323361265565</v>
      </c>
      <c r="G46" s="6">
        <f t="shared" si="7"/>
        <v>0.53493333333333337</v>
      </c>
      <c r="H46" s="6">
        <f t="shared" si="7"/>
        <v>1.03228125</v>
      </c>
      <c r="I46" s="6">
        <f t="shared" si="7"/>
        <v>0.47520000000000001</v>
      </c>
      <c r="J46" s="6">
        <f t="shared" si="7"/>
        <v>3.4438775510204078E-2</v>
      </c>
      <c r="K46" s="6">
        <f t="shared" si="7"/>
        <v>0.328125</v>
      </c>
      <c r="L46" s="6">
        <f t="shared" si="7"/>
        <v>3.3800000000000003</v>
      </c>
      <c r="M46" s="6">
        <f t="shared" si="7"/>
        <v>1.575</v>
      </c>
      <c r="N46" s="6">
        <f t="shared" si="7"/>
        <v>0.11946666666666667</v>
      </c>
      <c r="O46" s="6">
        <f t="shared" si="7"/>
        <v>0.17251808021038789</v>
      </c>
      <c r="P46" s="6">
        <f t="shared" si="7"/>
        <v>0.74131875000000003</v>
      </c>
      <c r="Q46" s="6">
        <f t="shared" si="7"/>
        <v>1.4949999999999999</v>
      </c>
      <c r="S46" s="6">
        <f>(S5*S7)/2/(S11/$AA$2)^2</f>
        <v>6.8402366863905315E-2</v>
      </c>
      <c r="T46" s="6">
        <f>(T5*T7)/2/(T11/$AA$2)^2</f>
        <v>0.21159999999999995</v>
      </c>
      <c r="U46" s="6">
        <v>9</v>
      </c>
      <c r="V46" s="6">
        <v>9</v>
      </c>
      <c r="W46" s="6">
        <v>9</v>
      </c>
      <c r="X46" s="6">
        <v>9</v>
      </c>
      <c r="Y46" s="6">
        <f>(Y5*Y7)/2/(Y11/$AA$2)^2</f>
        <v>0.58079999999999998</v>
      </c>
    </row>
    <row r="47" spans="1:25" ht="14.45" hidden="1" x14ac:dyDescent="0.3"/>
    <row r="48" spans="1:25" ht="14.45" hidden="1" x14ac:dyDescent="0.3"/>
    <row r="49" spans="1:25" hidden="1" x14ac:dyDescent="0.25"/>
    <row r="50" spans="1:25" x14ac:dyDescent="0.25">
      <c r="A50" s="6" t="s">
        <v>211</v>
      </c>
      <c r="B50" s="6" t="s">
        <v>88</v>
      </c>
      <c r="C50" s="6" t="s">
        <v>88</v>
      </c>
      <c r="D50" s="6" t="s">
        <v>88</v>
      </c>
      <c r="E50" s="6" t="s">
        <v>88</v>
      </c>
      <c r="F50" s="6" t="s">
        <v>88</v>
      </c>
      <c r="G50" s="6" t="s">
        <v>88</v>
      </c>
      <c r="H50" s="6" t="s">
        <v>88</v>
      </c>
      <c r="I50" s="6" t="s">
        <v>88</v>
      </c>
      <c r="J50" s="6" t="s">
        <v>94</v>
      </c>
      <c r="K50" s="6" t="s">
        <v>88</v>
      </c>
      <c r="L50" s="6" t="s">
        <v>88</v>
      </c>
      <c r="M50" s="6" t="s">
        <v>88</v>
      </c>
      <c r="N50" s="6" t="s">
        <v>88</v>
      </c>
      <c r="O50" s="6" t="s">
        <v>88</v>
      </c>
      <c r="P50" s="6" t="s">
        <v>88</v>
      </c>
      <c r="Q50" s="6" t="s">
        <v>94</v>
      </c>
      <c r="R50" s="6" t="s">
        <v>88</v>
      </c>
      <c r="S50" s="6" t="s">
        <v>88</v>
      </c>
      <c r="T50" s="6" t="s">
        <v>88</v>
      </c>
      <c r="U50" s="6" t="s">
        <v>88</v>
      </c>
      <c r="V50" s="6" t="s">
        <v>88</v>
      </c>
      <c r="W50" s="6" t="s">
        <v>88</v>
      </c>
      <c r="X50" s="6" t="s">
        <v>88</v>
      </c>
      <c r="Y50" s="6" t="s">
        <v>88</v>
      </c>
    </row>
    <row r="51" spans="1:25" x14ac:dyDescent="0.25">
      <c r="A51" s="6" t="s">
        <v>215</v>
      </c>
      <c r="B51" s="1">
        <f>[1]Sheet3!$F$9</f>
        <v>2.0190046678402069</v>
      </c>
      <c r="C51" s="1">
        <f>[1]Sheet3!$F$4</f>
        <v>4.8089363873716948</v>
      </c>
      <c r="D51" s="1">
        <f>[1]Sheet3!$F$7</f>
        <v>34.357959906292898</v>
      </c>
      <c r="E51" s="1">
        <f>[1]Sheet3!$F$7</f>
        <v>34.357959906292898</v>
      </c>
      <c r="F51" s="1">
        <f>[1]Sheet3!$F$6</f>
        <v>26.429602435675921</v>
      </c>
      <c r="G51" s="1">
        <f>[1]Sheet3!$F$12</f>
        <v>0.85606088618099418</v>
      </c>
      <c r="H51" s="1">
        <f>[1]Sheet3!$F$8</f>
        <v>3.3834230952380957</v>
      </c>
      <c r="I51" s="1">
        <f>[1]Sheet3!$F$5</f>
        <v>3.6373688371466542</v>
      </c>
      <c r="J51" s="1">
        <f>[1]Sheet3!$F$10</f>
        <v>1.496300212946621E-2</v>
      </c>
      <c r="K51" s="1">
        <f>[1]Sheet3!$F$13</f>
        <v>8.1808722813740617E-2</v>
      </c>
      <c r="L51" s="1">
        <f>[1]Sheet3!$F$15</f>
        <v>0.14842142332365665</v>
      </c>
      <c r="M51" s="1">
        <f>[1]Sheet3!$F$16</f>
        <v>2.6566246889867919</v>
      </c>
      <c r="N51"/>
      <c r="O51" s="1">
        <f>[1]Sheet3!$F$17</f>
        <v>0.94010418616306357</v>
      </c>
      <c r="P51" s="1">
        <f>[1]Sheet3!$F$14</f>
        <v>95.447859659285413</v>
      </c>
      <c r="Q51" s="1">
        <f>[1]Sheet3!$F$11</f>
        <v>1.7456835817710577E-2</v>
      </c>
      <c r="R51"/>
      <c r="S51" s="1">
        <f>[1]Sheet3!$F$11</f>
        <v>1.7456835817710577E-2</v>
      </c>
      <c r="T51"/>
      <c r="U51" s="1">
        <f>[1]Sheet3!$F$20</f>
        <v>2.5453899682805297</v>
      </c>
      <c r="V51" s="1">
        <f>[1]Sheet3!$F$19</f>
        <v>9.568514795844546E-2</v>
      </c>
      <c r="W51" s="1">
        <f>[1]Sheet3!$F$18</f>
        <v>2.7141500472479669E-2</v>
      </c>
      <c r="X51" s="1">
        <f>[1]Sheet3!$F$21</f>
        <v>0.11711345408399612</v>
      </c>
    </row>
  </sheetData>
  <conditionalFormatting sqref="B45:Y4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U35" r:id="rId1"/>
    <hyperlink ref="C42" r:id="rId2"/>
    <hyperlink ref="B42" r:id="rId3"/>
    <hyperlink ref="I42" r:id="rId4"/>
    <hyperlink ref="O42" r:id="rId5"/>
    <hyperlink ref="J42" r:id="rId6"/>
    <hyperlink ref="E42" r:id="rId7"/>
    <hyperlink ref="M42" r:id="rId8"/>
    <hyperlink ref="F42" r:id="rId9"/>
    <hyperlink ref="C43" r:id="rId10"/>
    <hyperlink ref="Y42" r:id="rId11"/>
  </hyperlinks>
  <pageMargins left="0.25" right="0.25" top="0.75" bottom="0.75" header="0.3" footer="0.3"/>
  <pageSetup scale="36" orientation="landscape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9" sqref="P9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16" t="s">
        <v>192</v>
      </c>
      <c r="B1" s="16" t="s">
        <v>179</v>
      </c>
      <c r="P1" t="s">
        <v>182</v>
      </c>
      <c r="Q1" t="s">
        <v>183</v>
      </c>
    </row>
    <row r="2" spans="1:20" x14ac:dyDescent="0.25">
      <c r="A2">
        <v>-3</v>
      </c>
      <c r="B2">
        <v>0</v>
      </c>
      <c r="P2" s="14">
        <f>(1-EXP($B$14*(A2-MIN($A$2:$A$12))^$B$15))/$B$16</f>
        <v>0</v>
      </c>
      <c r="Q2" s="14">
        <f>(P2-B2)^2</f>
        <v>0</v>
      </c>
    </row>
    <row r="3" spans="1:20" x14ac:dyDescent="0.25">
      <c r="A3">
        <f>A$2+B3*($A$12-$A$2)</f>
        <v>-1</v>
      </c>
      <c r="B3">
        <v>0.2</v>
      </c>
      <c r="P3" s="14">
        <f t="shared" ref="P3:P12" si="0">(1-EXP($B$14*(A3-MIN($A$2:$A$12))^$B$15))/$B$16</f>
        <v>0.20000000777156157</v>
      </c>
      <c r="Q3" s="14">
        <f t="shared" ref="Q3:Q12" si="1">(P3-B3)^2</f>
        <v>6.039716909570017E-17</v>
      </c>
      <c r="S3" t="s">
        <v>185</v>
      </c>
      <c r="T3" t="s">
        <v>186</v>
      </c>
    </row>
    <row r="4" spans="1:20" x14ac:dyDescent="0.25">
      <c r="A4">
        <f t="shared" ref="A4:A11" si="2">A$2+B4*($A$12-$A$2)</f>
        <v>1</v>
      </c>
      <c r="B4">
        <v>0.4</v>
      </c>
      <c r="P4" s="14">
        <f t="shared" si="0"/>
        <v>0.4000000122124539</v>
      </c>
      <c r="Q4" s="14">
        <f t="shared" si="1"/>
        <v>1.491440298077494E-16</v>
      </c>
      <c r="S4">
        <f>MIN(A2:A12)</f>
        <v>-3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2</v>
      </c>
      <c r="B5">
        <v>0.5</v>
      </c>
      <c r="P5" s="14">
        <f t="shared" si="0"/>
        <v>0.50000001221245394</v>
      </c>
      <c r="Q5" s="14">
        <f t="shared" si="1"/>
        <v>1.4914403116360416E-16</v>
      </c>
      <c r="S5">
        <f>S4+(MAX($A$2:$A$12)-$S$4)/50</f>
        <v>-2.8</v>
      </c>
      <c r="T5">
        <f t="shared" ref="T5:T68" si="3">IF(S5&lt;=MIN($A$2:$A$12),0,IF(S5&gt;=MAX($A$2:$A$12),1,(1/$B$16)*(1-EXP($B$14*(S5-MIN($A$2:$A$12))^$B$15))))</f>
        <v>2.0000000444089235E-2</v>
      </c>
    </row>
    <row r="6" spans="1:20" x14ac:dyDescent="0.25">
      <c r="A6">
        <f t="shared" si="2"/>
        <v>3</v>
      </c>
      <c r="B6">
        <v>0.6</v>
      </c>
      <c r="P6" s="14">
        <f t="shared" si="0"/>
        <v>0.60000001221245391</v>
      </c>
      <c r="Q6" s="14">
        <f t="shared" si="1"/>
        <v>1.4914403116360416E-16</v>
      </c>
      <c r="S6">
        <f t="shared" ref="S6:S69" si="4">S5+(MAX($A$2:$A$12)-$S$4)/50</f>
        <v>-2.5999999999999996</v>
      </c>
      <c r="T6">
        <f t="shared" si="3"/>
        <v>4.0000001998401549E-2</v>
      </c>
    </row>
    <row r="7" spans="1:20" x14ac:dyDescent="0.25">
      <c r="A7">
        <f t="shared" si="2"/>
        <v>4</v>
      </c>
      <c r="B7">
        <v>0.7</v>
      </c>
      <c r="P7" s="14">
        <f t="shared" si="0"/>
        <v>0.70000001110223076</v>
      </c>
      <c r="Q7" s="14">
        <f t="shared" si="1"/>
        <v>1.2325952876673503E-16</v>
      </c>
      <c r="S7">
        <f t="shared" si="4"/>
        <v>-2.3999999999999995</v>
      </c>
      <c r="T7">
        <f t="shared" si="3"/>
        <v>6.0000002442490784E-2</v>
      </c>
    </row>
    <row r="8" spans="1:20" x14ac:dyDescent="0.25">
      <c r="A8">
        <f t="shared" si="2"/>
        <v>5</v>
      </c>
      <c r="B8">
        <v>0.8</v>
      </c>
      <c r="P8" s="14">
        <f t="shared" si="0"/>
        <v>0.80000000888178469</v>
      </c>
      <c r="Q8" s="14">
        <f t="shared" si="1"/>
        <v>7.888609841071043E-17</v>
      </c>
      <c r="S8">
        <f t="shared" si="4"/>
        <v>-2.1999999999999993</v>
      </c>
      <c r="T8">
        <f t="shared" si="3"/>
        <v>8.0000003996803098E-2</v>
      </c>
    </row>
    <row r="9" spans="1:20" x14ac:dyDescent="0.25">
      <c r="A9">
        <f t="shared" si="2"/>
        <v>5.5</v>
      </c>
      <c r="B9">
        <v>0.85</v>
      </c>
      <c r="P9" s="14">
        <f t="shared" si="0"/>
        <v>0.85000000666133846</v>
      </c>
      <c r="Q9" s="14">
        <f t="shared" si="1"/>
        <v>4.4373430356024617E-17</v>
      </c>
      <c r="S9">
        <f t="shared" si="4"/>
        <v>-1.9999999999999993</v>
      </c>
      <c r="T9">
        <f t="shared" si="3"/>
        <v>0.10000000444089233</v>
      </c>
    </row>
    <row r="10" spans="1:20" x14ac:dyDescent="0.25">
      <c r="A10">
        <f t="shared" si="2"/>
        <v>6</v>
      </c>
      <c r="B10">
        <v>0.9</v>
      </c>
      <c r="P10" s="14">
        <f t="shared" si="0"/>
        <v>0.90000000444089234</v>
      </c>
      <c r="Q10" s="14">
        <f t="shared" si="1"/>
        <v>1.9721524602677607E-17</v>
      </c>
      <c r="S10">
        <f t="shared" si="4"/>
        <v>-1.7999999999999994</v>
      </c>
      <c r="T10">
        <f t="shared" si="3"/>
        <v>0.12000000488498157</v>
      </c>
    </row>
    <row r="11" spans="1:20" x14ac:dyDescent="0.25">
      <c r="A11">
        <f t="shared" si="2"/>
        <v>6.5</v>
      </c>
      <c r="B11">
        <v>0.95</v>
      </c>
      <c r="P11" s="14">
        <f t="shared" si="0"/>
        <v>0.95000000333066925</v>
      </c>
      <c r="Q11" s="14">
        <f t="shared" si="1"/>
        <v>1.1093357958784725E-17</v>
      </c>
      <c r="S11">
        <f t="shared" si="4"/>
        <v>-1.5999999999999994</v>
      </c>
      <c r="T11">
        <f t="shared" si="3"/>
        <v>0.14000000643929389</v>
      </c>
    </row>
    <row r="12" spans="1:20" x14ac:dyDescent="0.25">
      <c r="A12">
        <v>7</v>
      </c>
      <c r="B12">
        <v>1</v>
      </c>
      <c r="P12" s="14">
        <f t="shared" si="0"/>
        <v>1</v>
      </c>
      <c r="Q12" s="14">
        <f t="shared" si="1"/>
        <v>0</v>
      </c>
      <c r="S12">
        <f t="shared" si="4"/>
        <v>-1.3999999999999995</v>
      </c>
      <c r="T12">
        <f t="shared" si="3"/>
        <v>0.16000000688338312</v>
      </c>
    </row>
    <row r="13" spans="1:20" x14ac:dyDescent="0.25">
      <c r="S13">
        <f t="shared" si="4"/>
        <v>-1.1999999999999995</v>
      </c>
      <c r="T13">
        <f t="shared" si="3"/>
        <v>0.18000000732747234</v>
      </c>
    </row>
    <row r="14" spans="1:20" x14ac:dyDescent="0.25">
      <c r="A14" t="s">
        <v>180</v>
      </c>
      <c r="B14" s="15">
        <v>-1E-8</v>
      </c>
      <c r="O14" t="s">
        <v>184</v>
      </c>
      <c r="Q14" s="14">
        <f>SUM(Q2:Q12)</f>
        <v>7.8516320132559017E-16</v>
      </c>
      <c r="S14">
        <f t="shared" si="4"/>
        <v>-0.99999999999999956</v>
      </c>
      <c r="T14">
        <f t="shared" si="3"/>
        <v>0.20000000777156157</v>
      </c>
    </row>
    <row r="15" spans="1:20" x14ac:dyDescent="0.25">
      <c r="A15" t="s">
        <v>188</v>
      </c>
      <c r="B15" s="14">
        <v>1</v>
      </c>
      <c r="S15">
        <f t="shared" si="4"/>
        <v>-0.7999999999999996</v>
      </c>
      <c r="T15">
        <f t="shared" si="3"/>
        <v>0.2200000082156508</v>
      </c>
    </row>
    <row r="16" spans="1:20" x14ac:dyDescent="0.25">
      <c r="A16" t="s">
        <v>181</v>
      </c>
      <c r="B16" s="14">
        <f>1-EXP($B$14*(MAX($A$2:$A$12)-MIN($A$2:$A$12))^$B$15)</f>
        <v>9.9999994951360804E-8</v>
      </c>
      <c r="S16">
        <f t="shared" si="4"/>
        <v>-0.59999999999999964</v>
      </c>
      <c r="T16">
        <f t="shared" si="3"/>
        <v>0.24000000976996314</v>
      </c>
    </row>
    <row r="17" spans="19:20" x14ac:dyDescent="0.25">
      <c r="S17">
        <f t="shared" si="4"/>
        <v>-0.39999999999999963</v>
      </c>
      <c r="T17">
        <f t="shared" si="3"/>
        <v>0.26000001021405234</v>
      </c>
    </row>
    <row r="18" spans="19:20" x14ac:dyDescent="0.25">
      <c r="S18">
        <f t="shared" si="4"/>
        <v>-0.19999999999999962</v>
      </c>
      <c r="T18">
        <f t="shared" si="3"/>
        <v>0.28000001065814162</v>
      </c>
    </row>
    <row r="19" spans="19:20" x14ac:dyDescent="0.25">
      <c r="S19">
        <f t="shared" si="4"/>
        <v>3.8857805861880479E-16</v>
      </c>
      <c r="T19">
        <f t="shared" si="3"/>
        <v>0.30000001110223085</v>
      </c>
    </row>
    <row r="20" spans="19:20" x14ac:dyDescent="0.25">
      <c r="S20">
        <f t="shared" si="4"/>
        <v>0.2000000000000004</v>
      </c>
      <c r="T20">
        <f t="shared" si="3"/>
        <v>0.32000001154632007</v>
      </c>
    </row>
    <row r="21" spans="19:20" x14ac:dyDescent="0.25">
      <c r="S21">
        <f t="shared" si="4"/>
        <v>0.40000000000000041</v>
      </c>
      <c r="T21">
        <f t="shared" si="3"/>
        <v>0.34000001088018622</v>
      </c>
    </row>
    <row r="22" spans="19:20" x14ac:dyDescent="0.25">
      <c r="S22">
        <f t="shared" si="4"/>
        <v>0.60000000000000042</v>
      </c>
      <c r="T22">
        <f t="shared" si="3"/>
        <v>0.36000001132427545</v>
      </c>
    </row>
    <row r="23" spans="19:20" x14ac:dyDescent="0.25">
      <c r="S23">
        <f t="shared" si="4"/>
        <v>0.80000000000000049</v>
      </c>
      <c r="T23">
        <f t="shared" si="3"/>
        <v>0.38000001176836468</v>
      </c>
    </row>
    <row r="24" spans="19:20" x14ac:dyDescent="0.25">
      <c r="S24">
        <f t="shared" si="4"/>
        <v>1.0000000000000004</v>
      </c>
      <c r="T24">
        <f t="shared" si="3"/>
        <v>0.4000000122124539</v>
      </c>
    </row>
    <row r="25" spans="19:20" x14ac:dyDescent="0.25">
      <c r="S25">
        <f t="shared" si="4"/>
        <v>1.2000000000000004</v>
      </c>
      <c r="T25">
        <f t="shared" si="3"/>
        <v>0.42000001265654313</v>
      </c>
    </row>
    <row r="26" spans="19:20" x14ac:dyDescent="0.25">
      <c r="S26">
        <f t="shared" si="4"/>
        <v>1.4000000000000004</v>
      </c>
      <c r="T26">
        <f t="shared" si="3"/>
        <v>0.44000001199040928</v>
      </c>
    </row>
    <row r="27" spans="19:20" x14ac:dyDescent="0.25">
      <c r="S27">
        <f t="shared" si="4"/>
        <v>1.6000000000000003</v>
      </c>
      <c r="T27">
        <f t="shared" si="3"/>
        <v>0.46000001243449856</v>
      </c>
    </row>
    <row r="28" spans="19:20" x14ac:dyDescent="0.25">
      <c r="S28">
        <f t="shared" si="4"/>
        <v>1.8000000000000003</v>
      </c>
      <c r="T28">
        <f t="shared" si="3"/>
        <v>0.48000001287858779</v>
      </c>
    </row>
    <row r="29" spans="19:20" x14ac:dyDescent="0.25">
      <c r="S29">
        <f t="shared" si="4"/>
        <v>2.0000000000000004</v>
      </c>
      <c r="T29">
        <f t="shared" si="3"/>
        <v>0.50000001221245394</v>
      </c>
    </row>
    <row r="30" spans="19:20" x14ac:dyDescent="0.25">
      <c r="S30">
        <f t="shared" si="4"/>
        <v>2.2000000000000006</v>
      </c>
      <c r="T30">
        <f t="shared" si="3"/>
        <v>0.52000001265654316</v>
      </c>
    </row>
    <row r="31" spans="19:20" x14ac:dyDescent="0.25">
      <c r="S31">
        <f t="shared" si="4"/>
        <v>2.4000000000000008</v>
      </c>
      <c r="T31">
        <f t="shared" si="3"/>
        <v>0.54000001310063239</v>
      </c>
    </row>
    <row r="32" spans="19:20" x14ac:dyDescent="0.25">
      <c r="S32">
        <f t="shared" si="4"/>
        <v>2.600000000000001</v>
      </c>
      <c r="T32">
        <f t="shared" si="3"/>
        <v>0.5600000124344986</v>
      </c>
    </row>
    <row r="33" spans="19:20" x14ac:dyDescent="0.25">
      <c r="S33">
        <f t="shared" si="4"/>
        <v>2.8000000000000012</v>
      </c>
      <c r="T33">
        <f t="shared" si="3"/>
        <v>0.58000001287858782</v>
      </c>
    </row>
    <row r="34" spans="19:20" x14ac:dyDescent="0.25">
      <c r="S34">
        <f t="shared" si="4"/>
        <v>3.0000000000000013</v>
      </c>
      <c r="T34">
        <f t="shared" si="3"/>
        <v>0.60000001221245391</v>
      </c>
    </row>
    <row r="35" spans="19:20" x14ac:dyDescent="0.25">
      <c r="S35">
        <f t="shared" si="4"/>
        <v>3.2000000000000015</v>
      </c>
      <c r="T35">
        <f t="shared" si="3"/>
        <v>0.62000001154632012</v>
      </c>
    </row>
    <row r="36" spans="19:20" x14ac:dyDescent="0.25">
      <c r="S36">
        <f t="shared" si="4"/>
        <v>3.4000000000000017</v>
      </c>
      <c r="T36">
        <f t="shared" si="3"/>
        <v>0.64000001199040935</v>
      </c>
    </row>
    <row r="37" spans="19:20" x14ac:dyDescent="0.25">
      <c r="S37">
        <f t="shared" si="4"/>
        <v>3.6000000000000019</v>
      </c>
      <c r="T37">
        <f t="shared" si="3"/>
        <v>0.66000001132427544</v>
      </c>
    </row>
    <row r="38" spans="19:20" x14ac:dyDescent="0.25">
      <c r="S38">
        <f t="shared" si="4"/>
        <v>3.800000000000002</v>
      </c>
      <c r="T38">
        <f t="shared" si="3"/>
        <v>0.68000001065814164</v>
      </c>
    </row>
    <row r="39" spans="19:20" x14ac:dyDescent="0.25">
      <c r="S39">
        <f t="shared" si="4"/>
        <v>4.0000000000000018</v>
      </c>
      <c r="T39">
        <f t="shared" si="3"/>
        <v>0.70000001110223087</v>
      </c>
    </row>
    <row r="40" spans="19:20" x14ac:dyDescent="0.25">
      <c r="S40">
        <f t="shared" si="4"/>
        <v>4.200000000000002</v>
      </c>
      <c r="T40">
        <f t="shared" si="3"/>
        <v>0.72000001043609696</v>
      </c>
    </row>
    <row r="41" spans="19:20" x14ac:dyDescent="0.25">
      <c r="S41">
        <f t="shared" si="4"/>
        <v>4.4000000000000021</v>
      </c>
      <c r="T41">
        <f t="shared" si="3"/>
        <v>0.74000000976996316</v>
      </c>
    </row>
    <row r="42" spans="19:20" x14ac:dyDescent="0.25">
      <c r="S42">
        <f t="shared" si="4"/>
        <v>4.6000000000000023</v>
      </c>
      <c r="T42">
        <f t="shared" si="3"/>
        <v>0.76000000910382937</v>
      </c>
    </row>
    <row r="43" spans="19:20" x14ac:dyDescent="0.25">
      <c r="S43">
        <f t="shared" si="4"/>
        <v>4.8000000000000025</v>
      </c>
      <c r="T43">
        <f t="shared" si="3"/>
        <v>0.78000000843769546</v>
      </c>
    </row>
    <row r="44" spans="19:20" x14ac:dyDescent="0.25">
      <c r="S44">
        <f t="shared" si="4"/>
        <v>5.0000000000000027</v>
      </c>
      <c r="T44">
        <f t="shared" si="3"/>
        <v>0.80000000888178469</v>
      </c>
    </row>
    <row r="45" spans="19:20" x14ac:dyDescent="0.25">
      <c r="S45">
        <f t="shared" si="4"/>
        <v>5.2000000000000028</v>
      </c>
      <c r="T45">
        <f t="shared" si="3"/>
        <v>0.82000000821565089</v>
      </c>
    </row>
    <row r="46" spans="19:20" x14ac:dyDescent="0.25">
      <c r="S46">
        <f t="shared" si="4"/>
        <v>5.400000000000003</v>
      </c>
      <c r="T46">
        <f t="shared" si="3"/>
        <v>0.84000000754951698</v>
      </c>
    </row>
    <row r="47" spans="19:20" x14ac:dyDescent="0.25">
      <c r="S47">
        <f t="shared" si="4"/>
        <v>5.6000000000000032</v>
      </c>
      <c r="T47">
        <f t="shared" si="3"/>
        <v>0.86000000688338318</v>
      </c>
    </row>
    <row r="48" spans="19:20" x14ac:dyDescent="0.25">
      <c r="S48">
        <f t="shared" si="4"/>
        <v>5.8000000000000034</v>
      </c>
      <c r="T48">
        <f t="shared" si="3"/>
        <v>0.88000000621724928</v>
      </c>
    </row>
    <row r="49" spans="19:20" x14ac:dyDescent="0.25">
      <c r="S49">
        <f t="shared" si="4"/>
        <v>6.0000000000000036</v>
      </c>
      <c r="T49">
        <f t="shared" si="3"/>
        <v>0.90000000444089234</v>
      </c>
    </row>
    <row r="50" spans="19:20" x14ac:dyDescent="0.25">
      <c r="S50">
        <f t="shared" si="4"/>
        <v>6.2000000000000037</v>
      </c>
      <c r="T50">
        <f t="shared" si="3"/>
        <v>0.92000000377475855</v>
      </c>
    </row>
    <row r="51" spans="19:20" x14ac:dyDescent="0.25">
      <c r="S51">
        <f t="shared" si="4"/>
        <v>6.4000000000000039</v>
      </c>
      <c r="T51">
        <f t="shared" si="3"/>
        <v>0.94000000310862475</v>
      </c>
    </row>
    <row r="52" spans="19:20" x14ac:dyDescent="0.25">
      <c r="S52">
        <f t="shared" si="4"/>
        <v>6.6000000000000041</v>
      </c>
      <c r="T52">
        <f t="shared" si="3"/>
        <v>0.96000000244249084</v>
      </c>
    </row>
    <row r="53" spans="19:20" x14ac:dyDescent="0.25">
      <c r="S53">
        <f t="shared" si="4"/>
        <v>6.8000000000000043</v>
      </c>
      <c r="T53">
        <f t="shared" si="3"/>
        <v>0.98000000177635704</v>
      </c>
    </row>
    <row r="54" spans="19:20" x14ac:dyDescent="0.25">
      <c r="S54">
        <f t="shared" si="4"/>
        <v>7.0000000000000044</v>
      </c>
      <c r="T54">
        <f t="shared" si="3"/>
        <v>1</v>
      </c>
    </row>
    <row r="55" spans="19:20" x14ac:dyDescent="0.25">
      <c r="S55">
        <f t="shared" si="4"/>
        <v>7.2000000000000046</v>
      </c>
      <c r="T55">
        <f t="shared" si="3"/>
        <v>1</v>
      </c>
    </row>
    <row r="56" spans="19:20" x14ac:dyDescent="0.25">
      <c r="S56">
        <f t="shared" si="4"/>
        <v>7.4000000000000048</v>
      </c>
      <c r="T56">
        <f t="shared" si="3"/>
        <v>1</v>
      </c>
    </row>
    <row r="57" spans="19:20" x14ac:dyDescent="0.25">
      <c r="S57">
        <f t="shared" si="4"/>
        <v>7.600000000000005</v>
      </c>
      <c r="T57">
        <f t="shared" si="3"/>
        <v>1</v>
      </c>
    </row>
    <row r="58" spans="19:20" x14ac:dyDescent="0.25">
      <c r="S58">
        <f t="shared" si="4"/>
        <v>7.8000000000000052</v>
      </c>
      <c r="T58">
        <f t="shared" si="3"/>
        <v>1</v>
      </c>
    </row>
    <row r="59" spans="19:20" x14ac:dyDescent="0.25">
      <c r="S59">
        <f t="shared" si="4"/>
        <v>8.0000000000000053</v>
      </c>
      <c r="T59">
        <f t="shared" si="3"/>
        <v>1</v>
      </c>
    </row>
    <row r="60" spans="19:20" x14ac:dyDescent="0.25">
      <c r="S60">
        <f t="shared" si="4"/>
        <v>8.2000000000000046</v>
      </c>
      <c r="T60">
        <f t="shared" si="3"/>
        <v>1</v>
      </c>
    </row>
    <row r="61" spans="19:20" x14ac:dyDescent="0.25">
      <c r="S61">
        <f t="shared" si="4"/>
        <v>8.4000000000000039</v>
      </c>
      <c r="T61">
        <f t="shared" si="3"/>
        <v>1</v>
      </c>
    </row>
    <row r="62" spans="19:20" x14ac:dyDescent="0.25">
      <c r="S62">
        <f t="shared" si="4"/>
        <v>8.6000000000000032</v>
      </c>
      <c r="T62">
        <f t="shared" si="3"/>
        <v>1</v>
      </c>
    </row>
    <row r="63" spans="19:20" x14ac:dyDescent="0.25">
      <c r="S63">
        <f t="shared" si="4"/>
        <v>8.8000000000000025</v>
      </c>
      <c r="T63">
        <f t="shared" si="3"/>
        <v>1</v>
      </c>
    </row>
    <row r="64" spans="19:20" x14ac:dyDescent="0.25">
      <c r="S64">
        <f t="shared" si="4"/>
        <v>9.0000000000000018</v>
      </c>
      <c r="T64">
        <f t="shared" si="3"/>
        <v>1</v>
      </c>
    </row>
    <row r="65" spans="19:20" x14ac:dyDescent="0.25">
      <c r="S65">
        <f t="shared" si="4"/>
        <v>9.2000000000000011</v>
      </c>
      <c r="T65">
        <f t="shared" si="3"/>
        <v>1</v>
      </c>
    </row>
    <row r="66" spans="19:20" x14ac:dyDescent="0.25">
      <c r="S66">
        <f t="shared" si="4"/>
        <v>9.4</v>
      </c>
      <c r="T66">
        <f t="shared" si="3"/>
        <v>1</v>
      </c>
    </row>
    <row r="67" spans="19:20" x14ac:dyDescent="0.25">
      <c r="S67">
        <f t="shared" si="4"/>
        <v>9.6</v>
      </c>
      <c r="T67">
        <f t="shared" si="3"/>
        <v>1</v>
      </c>
    </row>
    <row r="68" spans="19:20" x14ac:dyDescent="0.25">
      <c r="S68">
        <f t="shared" si="4"/>
        <v>9.7999999999999989</v>
      </c>
      <c r="T68">
        <f t="shared" si="3"/>
        <v>1</v>
      </c>
    </row>
    <row r="69" spans="19:20" x14ac:dyDescent="0.25">
      <c r="S69">
        <f t="shared" si="4"/>
        <v>9.9999999999999982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10.199999999999998</v>
      </c>
      <c r="T70">
        <f t="shared" si="5"/>
        <v>1</v>
      </c>
    </row>
    <row r="71" spans="19:20" x14ac:dyDescent="0.25">
      <c r="S71">
        <f t="shared" si="6"/>
        <v>10.399999999999997</v>
      </c>
      <c r="T71">
        <f t="shared" si="5"/>
        <v>1</v>
      </c>
    </row>
    <row r="72" spans="19:20" x14ac:dyDescent="0.25">
      <c r="S72">
        <f t="shared" si="6"/>
        <v>10.599999999999996</v>
      </c>
      <c r="T72">
        <f t="shared" si="5"/>
        <v>1</v>
      </c>
    </row>
    <row r="73" spans="19:20" x14ac:dyDescent="0.25">
      <c r="S73">
        <f t="shared" si="6"/>
        <v>10.799999999999995</v>
      </c>
      <c r="T73">
        <f t="shared" si="5"/>
        <v>1</v>
      </c>
    </row>
    <row r="74" spans="19:20" x14ac:dyDescent="0.25">
      <c r="S74">
        <f t="shared" si="6"/>
        <v>10.999999999999995</v>
      </c>
      <c r="T74">
        <f t="shared" si="5"/>
        <v>1</v>
      </c>
    </row>
    <row r="75" spans="19:20" x14ac:dyDescent="0.25">
      <c r="S75">
        <f t="shared" si="6"/>
        <v>11.199999999999994</v>
      </c>
      <c r="T75">
        <f t="shared" si="5"/>
        <v>1</v>
      </c>
    </row>
    <row r="76" spans="19:20" x14ac:dyDescent="0.25">
      <c r="S76">
        <f t="shared" si="6"/>
        <v>11.399999999999993</v>
      </c>
      <c r="T76">
        <f t="shared" si="5"/>
        <v>1</v>
      </c>
    </row>
    <row r="77" spans="19:20" x14ac:dyDescent="0.25">
      <c r="S77">
        <f t="shared" si="6"/>
        <v>11.599999999999993</v>
      </c>
      <c r="T77">
        <f t="shared" si="5"/>
        <v>1</v>
      </c>
    </row>
    <row r="78" spans="19:20" x14ac:dyDescent="0.25">
      <c r="S78">
        <f t="shared" si="6"/>
        <v>11.799999999999992</v>
      </c>
      <c r="T78">
        <f t="shared" si="5"/>
        <v>1</v>
      </c>
    </row>
    <row r="79" spans="19:20" x14ac:dyDescent="0.25">
      <c r="S79">
        <f t="shared" si="6"/>
        <v>11.999999999999991</v>
      </c>
      <c r="T79">
        <f t="shared" si="5"/>
        <v>1</v>
      </c>
    </row>
    <row r="80" spans="19:20" x14ac:dyDescent="0.25">
      <c r="S80">
        <f t="shared" si="6"/>
        <v>12.19999999999999</v>
      </c>
      <c r="T80">
        <f t="shared" si="5"/>
        <v>1</v>
      </c>
    </row>
    <row r="81" spans="19:20" x14ac:dyDescent="0.25">
      <c r="S81">
        <f t="shared" si="6"/>
        <v>12.39999999999999</v>
      </c>
      <c r="T81">
        <f t="shared" si="5"/>
        <v>1</v>
      </c>
    </row>
    <row r="82" spans="19:20" x14ac:dyDescent="0.25">
      <c r="S82">
        <f t="shared" si="6"/>
        <v>12.599999999999989</v>
      </c>
      <c r="T82">
        <f t="shared" si="5"/>
        <v>1</v>
      </c>
    </row>
    <row r="83" spans="19:20" x14ac:dyDescent="0.25">
      <c r="S83">
        <f t="shared" si="6"/>
        <v>12.799999999999988</v>
      </c>
      <c r="T83">
        <f t="shared" si="5"/>
        <v>1</v>
      </c>
    </row>
    <row r="84" spans="19:20" x14ac:dyDescent="0.25">
      <c r="S84">
        <f t="shared" si="6"/>
        <v>12.999999999999988</v>
      </c>
      <c r="T84">
        <f t="shared" si="5"/>
        <v>1</v>
      </c>
    </row>
    <row r="85" spans="19:20" x14ac:dyDescent="0.25">
      <c r="S85">
        <f t="shared" si="6"/>
        <v>13.199999999999987</v>
      </c>
      <c r="T85">
        <f t="shared" si="5"/>
        <v>1</v>
      </c>
    </row>
    <row r="86" spans="19:20" x14ac:dyDescent="0.25">
      <c r="S86">
        <f t="shared" si="6"/>
        <v>13.399999999999986</v>
      </c>
      <c r="T86">
        <f t="shared" si="5"/>
        <v>1</v>
      </c>
    </row>
    <row r="87" spans="19:20" x14ac:dyDescent="0.25">
      <c r="S87">
        <f t="shared" si="6"/>
        <v>13.599999999999985</v>
      </c>
      <c r="T87">
        <f t="shared" si="5"/>
        <v>1</v>
      </c>
    </row>
    <row r="88" spans="19:20" x14ac:dyDescent="0.25">
      <c r="S88">
        <f t="shared" si="6"/>
        <v>13.799999999999985</v>
      </c>
      <c r="T88">
        <f t="shared" si="5"/>
        <v>1</v>
      </c>
    </row>
    <row r="89" spans="19:20" x14ac:dyDescent="0.25">
      <c r="S89">
        <f t="shared" si="6"/>
        <v>13.999999999999984</v>
      </c>
      <c r="T89">
        <f t="shared" si="5"/>
        <v>1</v>
      </c>
    </row>
    <row r="90" spans="19:20" x14ac:dyDescent="0.25">
      <c r="S90">
        <f t="shared" si="6"/>
        <v>14.199999999999983</v>
      </c>
      <c r="T90">
        <f t="shared" si="5"/>
        <v>1</v>
      </c>
    </row>
    <row r="91" spans="19:20" x14ac:dyDescent="0.25">
      <c r="S91">
        <f t="shared" si="6"/>
        <v>14.399999999999983</v>
      </c>
      <c r="T91">
        <f t="shared" si="5"/>
        <v>1</v>
      </c>
    </row>
    <row r="92" spans="19:20" x14ac:dyDescent="0.25">
      <c r="S92">
        <f t="shared" si="6"/>
        <v>14.599999999999982</v>
      </c>
      <c r="T92">
        <f t="shared" si="5"/>
        <v>1</v>
      </c>
    </row>
    <row r="93" spans="19:20" x14ac:dyDescent="0.25">
      <c r="S93">
        <f t="shared" si="6"/>
        <v>14.799999999999981</v>
      </c>
      <c r="T93">
        <f t="shared" si="5"/>
        <v>1</v>
      </c>
    </row>
    <row r="94" spans="19:20" x14ac:dyDescent="0.25">
      <c r="S94">
        <f t="shared" si="6"/>
        <v>14.99999999999998</v>
      </c>
      <c r="T94">
        <f t="shared" si="5"/>
        <v>1</v>
      </c>
    </row>
    <row r="95" spans="19:20" x14ac:dyDescent="0.25">
      <c r="S95">
        <f t="shared" si="6"/>
        <v>15.19999999999998</v>
      </c>
      <c r="T95">
        <f t="shared" si="5"/>
        <v>1</v>
      </c>
    </row>
    <row r="96" spans="19:20" x14ac:dyDescent="0.25">
      <c r="S96">
        <f t="shared" si="6"/>
        <v>15.399999999999979</v>
      </c>
      <c r="T96">
        <f t="shared" si="5"/>
        <v>1</v>
      </c>
    </row>
    <row r="97" spans="19:20" x14ac:dyDescent="0.25">
      <c r="S97">
        <f t="shared" si="6"/>
        <v>15.599999999999978</v>
      </c>
      <c r="T97">
        <f t="shared" si="5"/>
        <v>1</v>
      </c>
    </row>
    <row r="98" spans="19:20" x14ac:dyDescent="0.25">
      <c r="S98">
        <f t="shared" si="6"/>
        <v>15.799999999999978</v>
      </c>
      <c r="T98">
        <f t="shared" si="5"/>
        <v>1</v>
      </c>
    </row>
    <row r="99" spans="19:20" x14ac:dyDescent="0.25">
      <c r="S99">
        <f t="shared" si="6"/>
        <v>15.999999999999977</v>
      </c>
      <c r="T99">
        <f t="shared" si="5"/>
        <v>1</v>
      </c>
    </row>
    <row r="100" spans="19:20" x14ac:dyDescent="0.25">
      <c r="S100">
        <f t="shared" si="6"/>
        <v>16.199999999999978</v>
      </c>
      <c r="T100">
        <f t="shared" si="5"/>
        <v>1</v>
      </c>
    </row>
    <row r="101" spans="19:20" x14ac:dyDescent="0.25">
      <c r="S101">
        <f t="shared" si="6"/>
        <v>16.399999999999977</v>
      </c>
      <c r="T101">
        <f t="shared" si="5"/>
        <v>1</v>
      </c>
    </row>
    <row r="102" spans="19:20" x14ac:dyDescent="0.25">
      <c r="S102">
        <f t="shared" si="6"/>
        <v>16.599999999999977</v>
      </c>
      <c r="T102">
        <f t="shared" si="5"/>
        <v>1</v>
      </c>
    </row>
    <row r="103" spans="19:20" x14ac:dyDescent="0.25">
      <c r="S103">
        <f t="shared" si="6"/>
        <v>16.799999999999976</v>
      </c>
      <c r="T103">
        <f t="shared" si="5"/>
        <v>1</v>
      </c>
    </row>
    <row r="104" spans="19:20" x14ac:dyDescent="0.25">
      <c r="S104">
        <f t="shared" si="6"/>
        <v>16.999999999999975</v>
      </c>
      <c r="T104">
        <f t="shared" si="5"/>
        <v>1</v>
      </c>
    </row>
    <row r="105" spans="19:20" x14ac:dyDescent="0.25">
      <c r="S105">
        <f t="shared" si="6"/>
        <v>17.199999999999974</v>
      </c>
      <c r="T105">
        <f t="shared" si="5"/>
        <v>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18" sqref="B18"/>
    </sheetView>
  </sheetViews>
  <sheetFormatPr defaultRowHeight="15" x14ac:dyDescent="0.25"/>
  <cols>
    <col min="1" max="1" width="17.570312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16" t="s">
        <v>193</v>
      </c>
      <c r="B1" s="16" t="s">
        <v>179</v>
      </c>
    </row>
    <row r="2" spans="1:17" x14ac:dyDescent="0.25">
      <c r="A2" t="s">
        <v>88</v>
      </c>
      <c r="B2">
        <v>0</v>
      </c>
      <c r="P2" s="14"/>
      <c r="Q2" s="14"/>
    </row>
    <row r="3" spans="1:17" x14ac:dyDescent="0.25">
      <c r="A3" t="s">
        <v>94</v>
      </c>
      <c r="B3">
        <v>1</v>
      </c>
      <c r="P3" s="14"/>
      <c r="Q3" s="14"/>
    </row>
    <row r="4" spans="1:17" x14ac:dyDescent="0.25">
      <c r="P4" s="14"/>
      <c r="Q4" s="14"/>
    </row>
    <row r="5" spans="1:17" x14ac:dyDescent="0.25">
      <c r="P5" s="14"/>
      <c r="Q5" s="14"/>
    </row>
    <row r="6" spans="1:17" x14ac:dyDescent="0.25">
      <c r="P6" s="14"/>
      <c r="Q6" s="14"/>
    </row>
    <row r="7" spans="1:17" x14ac:dyDescent="0.25">
      <c r="P7" s="14"/>
      <c r="Q7" s="14"/>
    </row>
    <row r="8" spans="1:17" x14ac:dyDescent="0.25">
      <c r="P8" s="14"/>
      <c r="Q8" s="14"/>
    </row>
    <row r="9" spans="1:17" x14ac:dyDescent="0.25">
      <c r="P9" s="14"/>
      <c r="Q9" s="14"/>
    </row>
    <row r="10" spans="1:17" x14ac:dyDescent="0.25">
      <c r="P10" s="14"/>
      <c r="Q10" s="14"/>
    </row>
    <row r="11" spans="1:17" x14ac:dyDescent="0.25">
      <c r="P11" s="14"/>
      <c r="Q11" s="14"/>
    </row>
    <row r="12" spans="1:17" x14ac:dyDescent="0.25">
      <c r="P12" s="14"/>
      <c r="Q12" s="14"/>
    </row>
    <row r="14" spans="1:17" x14ac:dyDescent="0.25">
      <c r="B14" s="15"/>
      <c r="Q14" s="14"/>
    </row>
    <row r="15" spans="1:17" x14ac:dyDescent="0.25">
      <c r="B15" s="14"/>
    </row>
    <row r="16" spans="1:17" x14ac:dyDescent="0.25">
      <c r="B16" s="1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C10" sqref="C10"/>
    </sheetView>
  </sheetViews>
  <sheetFormatPr defaultRowHeight="15" x14ac:dyDescent="0.25"/>
  <cols>
    <col min="1" max="1" width="31.4257812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16" t="s">
        <v>195</v>
      </c>
      <c r="B1" s="16" t="s">
        <v>179</v>
      </c>
    </row>
    <row r="2" spans="1:17" x14ac:dyDescent="0.25">
      <c r="A2" t="s">
        <v>88</v>
      </c>
      <c r="B2">
        <v>0</v>
      </c>
      <c r="P2" s="14"/>
      <c r="Q2" s="14"/>
    </row>
    <row r="3" spans="1:17" x14ac:dyDescent="0.25">
      <c r="A3" t="s">
        <v>94</v>
      </c>
      <c r="B3">
        <v>1</v>
      </c>
      <c r="P3" s="14"/>
      <c r="Q3" s="14"/>
    </row>
    <row r="4" spans="1:17" x14ac:dyDescent="0.25">
      <c r="P4" s="14"/>
      <c r="Q4" s="14"/>
    </row>
    <row r="5" spans="1:17" x14ac:dyDescent="0.25">
      <c r="P5" s="14"/>
      <c r="Q5" s="14"/>
    </row>
    <row r="6" spans="1:17" x14ac:dyDescent="0.25">
      <c r="P6" s="14"/>
      <c r="Q6" s="14"/>
    </row>
    <row r="7" spans="1:17" x14ac:dyDescent="0.25">
      <c r="P7" s="14"/>
      <c r="Q7" s="14"/>
    </row>
    <row r="8" spans="1:17" x14ac:dyDescent="0.25">
      <c r="P8" s="14"/>
      <c r="Q8" s="14"/>
    </row>
    <row r="9" spans="1:17" x14ac:dyDescent="0.25">
      <c r="P9" s="14"/>
      <c r="Q9" s="14"/>
    </row>
    <row r="10" spans="1:17" x14ac:dyDescent="0.25">
      <c r="P10" s="14"/>
      <c r="Q10" s="14"/>
    </row>
    <row r="11" spans="1:17" x14ac:dyDescent="0.25">
      <c r="P11" s="14"/>
      <c r="Q11" s="14"/>
    </row>
    <row r="12" spans="1:17" x14ac:dyDescent="0.25">
      <c r="P12" s="14"/>
      <c r="Q12" s="14"/>
    </row>
    <row r="14" spans="1:17" x14ac:dyDescent="0.25">
      <c r="B14" s="15"/>
      <c r="Q14" s="14"/>
    </row>
    <row r="15" spans="1:17" x14ac:dyDescent="0.25">
      <c r="B15" s="14"/>
    </row>
    <row r="16" spans="1:17" x14ac:dyDescent="0.25">
      <c r="B16" s="1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sqref="A1:B1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16" t="s">
        <v>196</v>
      </c>
      <c r="B1" s="16" t="s">
        <v>179</v>
      </c>
    </row>
    <row r="2" spans="1:17" x14ac:dyDescent="0.25">
      <c r="A2" t="s">
        <v>82</v>
      </c>
      <c r="B2">
        <v>0</v>
      </c>
      <c r="P2" s="14"/>
      <c r="Q2" s="14"/>
    </row>
    <row r="3" spans="1:17" x14ac:dyDescent="0.25">
      <c r="A3" t="s">
        <v>125</v>
      </c>
      <c r="B3">
        <v>0.2</v>
      </c>
      <c r="P3" s="14"/>
      <c r="Q3" s="14"/>
    </row>
    <row r="4" spans="1:17" x14ac:dyDescent="0.25">
      <c r="A4" t="s">
        <v>81</v>
      </c>
      <c r="B4">
        <v>0.6</v>
      </c>
      <c r="P4" s="14"/>
      <c r="Q4" s="14"/>
    </row>
    <row r="5" spans="1:17" x14ac:dyDescent="0.25">
      <c r="A5" t="s">
        <v>89</v>
      </c>
      <c r="B5">
        <v>0.8</v>
      </c>
      <c r="P5" s="14"/>
      <c r="Q5" s="14"/>
    </row>
    <row r="6" spans="1:17" x14ac:dyDescent="0.25">
      <c r="A6" t="s">
        <v>80</v>
      </c>
      <c r="B6">
        <v>1</v>
      </c>
      <c r="P6" s="14"/>
      <c r="Q6" s="14"/>
    </row>
    <row r="7" spans="1:17" x14ac:dyDescent="0.25">
      <c r="P7" s="14"/>
      <c r="Q7" s="14"/>
    </row>
    <row r="8" spans="1:17" x14ac:dyDescent="0.25">
      <c r="P8" s="14"/>
      <c r="Q8" s="14"/>
    </row>
    <row r="9" spans="1:17" x14ac:dyDescent="0.25">
      <c r="P9" s="14"/>
      <c r="Q9" s="14"/>
    </row>
    <row r="10" spans="1:17" x14ac:dyDescent="0.25">
      <c r="P10" s="14"/>
      <c r="Q10" s="14"/>
    </row>
    <row r="11" spans="1:17" x14ac:dyDescent="0.25">
      <c r="P11" s="14"/>
      <c r="Q11" s="14"/>
    </row>
    <row r="12" spans="1:17" x14ac:dyDescent="0.25">
      <c r="P12" s="14"/>
      <c r="Q12" s="14"/>
    </row>
    <row r="14" spans="1:17" x14ac:dyDescent="0.25">
      <c r="B14" s="15"/>
      <c r="Q14" s="14"/>
    </row>
    <row r="15" spans="1:17" x14ac:dyDescent="0.25">
      <c r="B15" s="14"/>
    </row>
    <row r="16" spans="1:17" x14ac:dyDescent="0.25">
      <c r="B16" s="14"/>
    </row>
  </sheetData>
  <sortState ref="A2:B6">
    <sortCondition ref="B2:B6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5" sqref="B5"/>
    </sheetView>
  </sheetViews>
  <sheetFormatPr defaultRowHeight="15" x14ac:dyDescent="0.25"/>
  <cols>
    <col min="1" max="1" width="16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16" t="s">
        <v>197</v>
      </c>
      <c r="B1" s="16" t="s">
        <v>179</v>
      </c>
    </row>
    <row r="2" spans="1:17" x14ac:dyDescent="0.25">
      <c r="A2" t="s">
        <v>82</v>
      </c>
      <c r="B2">
        <v>0</v>
      </c>
      <c r="P2" s="14"/>
      <c r="Q2" s="14"/>
    </row>
    <row r="3" spans="1:17" x14ac:dyDescent="0.25">
      <c r="A3" t="s">
        <v>86</v>
      </c>
      <c r="B3">
        <v>0.3</v>
      </c>
      <c r="P3" s="14"/>
      <c r="Q3" s="14"/>
    </row>
    <row r="4" spans="1:17" x14ac:dyDescent="0.25">
      <c r="A4" t="s">
        <v>85</v>
      </c>
      <c r="B4">
        <v>0.6</v>
      </c>
      <c r="P4" s="14"/>
      <c r="Q4" s="14"/>
    </row>
    <row r="5" spans="1:17" x14ac:dyDescent="0.25">
      <c r="A5" t="s">
        <v>84</v>
      </c>
      <c r="B5">
        <v>0.6</v>
      </c>
      <c r="P5" s="14"/>
      <c r="Q5" s="14"/>
    </row>
    <row r="6" spans="1:17" x14ac:dyDescent="0.25">
      <c r="A6" t="s">
        <v>83</v>
      </c>
      <c r="B6">
        <v>0.8</v>
      </c>
      <c r="P6" s="14"/>
      <c r="Q6" s="14"/>
    </row>
    <row r="7" spans="1:17" x14ac:dyDescent="0.25">
      <c r="A7" t="s">
        <v>93</v>
      </c>
      <c r="B7">
        <v>0.9</v>
      </c>
      <c r="P7" s="14"/>
      <c r="Q7" s="14"/>
    </row>
    <row r="8" spans="1:17" x14ac:dyDescent="0.25">
      <c r="A8" t="s">
        <v>80</v>
      </c>
      <c r="B8">
        <v>1</v>
      </c>
      <c r="P8" s="14"/>
      <c r="Q8" s="14"/>
    </row>
    <row r="9" spans="1:17" x14ac:dyDescent="0.25">
      <c r="P9" s="14"/>
      <c r="Q9" s="14"/>
    </row>
    <row r="10" spans="1:17" x14ac:dyDescent="0.25">
      <c r="P10" s="14"/>
      <c r="Q10" s="14"/>
    </row>
    <row r="11" spans="1:17" x14ac:dyDescent="0.25">
      <c r="P11" s="14"/>
      <c r="Q11" s="14"/>
    </row>
    <row r="12" spans="1:17" x14ac:dyDescent="0.25">
      <c r="P12" s="14"/>
      <c r="Q12" s="14"/>
    </row>
    <row r="14" spans="1:17" x14ac:dyDescent="0.25">
      <c r="B14" s="15"/>
      <c r="Q14" s="14"/>
    </row>
    <row r="15" spans="1:17" x14ac:dyDescent="0.25">
      <c r="B15" s="14"/>
    </row>
    <row r="16" spans="1:17" x14ac:dyDescent="0.25">
      <c r="B16" s="14"/>
    </row>
  </sheetData>
  <sortState ref="A2:B8">
    <sortCondition ref="B2:B8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0" sqref="B20"/>
    </sheetView>
  </sheetViews>
  <sheetFormatPr defaultRowHeight="15" x14ac:dyDescent="0.25"/>
  <cols>
    <col min="1" max="1" width="24.7109375" bestFit="1" customWidth="1"/>
    <col min="2" max="2" width="17.42578125" customWidth="1"/>
    <col min="3" max="3" width="13.42578125" customWidth="1"/>
    <col min="4" max="4" width="13.5703125" bestFit="1" customWidth="1"/>
  </cols>
  <sheetData>
    <row r="1" spans="1:4" x14ac:dyDescent="0.25">
      <c r="A1" s="16" t="s">
        <v>199</v>
      </c>
      <c r="B1" s="16" t="s">
        <v>200</v>
      </c>
      <c r="C1" s="16" t="s">
        <v>206</v>
      </c>
      <c r="D1" s="16" t="s">
        <v>207</v>
      </c>
    </row>
    <row r="2" spans="1:4" x14ac:dyDescent="0.25">
      <c r="A2" t="s">
        <v>210</v>
      </c>
      <c r="B2" t="s">
        <v>201</v>
      </c>
      <c r="C2" s="14">
        <v>0.17899999999999999</v>
      </c>
      <c r="D2" s="14">
        <f>C2*LOOKUP(B2,$A$17:$A$20,$B$17:$B$20)</f>
        <v>8.9499999999999996E-2</v>
      </c>
    </row>
    <row r="3" spans="1:4" x14ac:dyDescent="0.25">
      <c r="A3" t="s">
        <v>76</v>
      </c>
      <c r="B3" t="s">
        <v>201</v>
      </c>
      <c r="C3" s="14">
        <v>0.22600000000000001</v>
      </c>
      <c r="D3" s="14">
        <f t="shared" ref="D3:D13" si="0">C3*LOOKUP(B3,$A$17:$A$20,$B$17:$B$20)</f>
        <v>0.113</v>
      </c>
    </row>
    <row r="4" spans="1:4" x14ac:dyDescent="0.25">
      <c r="A4" t="s">
        <v>77</v>
      </c>
      <c r="B4" t="s">
        <v>201</v>
      </c>
      <c r="C4" s="14">
        <v>0.17899999999999999</v>
      </c>
      <c r="D4" s="14">
        <f t="shared" si="0"/>
        <v>8.9499999999999996E-2</v>
      </c>
    </row>
    <row r="5" spans="1:4" x14ac:dyDescent="0.25">
      <c r="A5" t="s">
        <v>78</v>
      </c>
      <c r="B5" t="s">
        <v>201</v>
      </c>
      <c r="C5" s="14">
        <v>0.17899999999999999</v>
      </c>
      <c r="D5" s="14">
        <f t="shared" si="0"/>
        <v>8.9499999999999996E-2</v>
      </c>
    </row>
    <row r="6" spans="1:4" x14ac:dyDescent="0.25">
      <c r="A6" t="s">
        <v>209</v>
      </c>
      <c r="B6" t="s">
        <v>201</v>
      </c>
      <c r="C6" s="14">
        <v>0.23699999999999999</v>
      </c>
      <c r="D6" s="14">
        <f t="shared" si="0"/>
        <v>0.11849999999999999</v>
      </c>
    </row>
    <row r="7" spans="1:4" x14ac:dyDescent="0.25">
      <c r="A7" t="s">
        <v>79</v>
      </c>
      <c r="B7" t="s">
        <v>203</v>
      </c>
      <c r="C7" s="14">
        <v>0.5</v>
      </c>
      <c r="D7" s="14">
        <f t="shared" si="0"/>
        <v>0</v>
      </c>
    </row>
    <row r="8" spans="1:4" x14ac:dyDescent="0.25">
      <c r="A8" t="s">
        <v>5</v>
      </c>
      <c r="B8" t="s">
        <v>203</v>
      </c>
      <c r="C8" s="14">
        <v>0.5</v>
      </c>
      <c r="D8" s="14">
        <f t="shared" si="0"/>
        <v>0</v>
      </c>
    </row>
    <row r="9" spans="1:4" x14ac:dyDescent="0.25">
      <c r="A9" t="s">
        <v>205</v>
      </c>
      <c r="B9" t="s">
        <v>202</v>
      </c>
      <c r="C9" s="14">
        <v>0.4</v>
      </c>
      <c r="D9" s="14">
        <f t="shared" si="0"/>
        <v>0.2</v>
      </c>
    </row>
    <row r="10" spans="1:4" x14ac:dyDescent="0.25">
      <c r="A10" t="s">
        <v>198</v>
      </c>
      <c r="B10" t="s">
        <v>202</v>
      </c>
      <c r="C10" s="14">
        <v>0.6</v>
      </c>
      <c r="D10" s="14">
        <f t="shared" si="0"/>
        <v>0.3</v>
      </c>
    </row>
    <row r="11" spans="1:4" x14ac:dyDescent="0.25">
      <c r="A11" t="s">
        <v>194</v>
      </c>
      <c r="B11" t="s">
        <v>204</v>
      </c>
      <c r="C11" s="14">
        <v>0.33300000000000002</v>
      </c>
      <c r="D11" s="14">
        <f t="shared" si="0"/>
        <v>0</v>
      </c>
    </row>
    <row r="12" spans="1:4" x14ac:dyDescent="0.25">
      <c r="A12" t="s">
        <v>196</v>
      </c>
      <c r="B12" t="s">
        <v>204</v>
      </c>
      <c r="C12" s="14">
        <v>0.33400000000000002</v>
      </c>
      <c r="D12" s="14">
        <f t="shared" si="0"/>
        <v>0</v>
      </c>
    </row>
    <row r="13" spans="1:4" x14ac:dyDescent="0.25">
      <c r="A13" t="s">
        <v>197</v>
      </c>
      <c r="B13" t="s">
        <v>204</v>
      </c>
      <c r="C13" s="14">
        <v>0.33300000000000002</v>
      </c>
      <c r="D13" s="14">
        <f t="shared" si="0"/>
        <v>0</v>
      </c>
    </row>
    <row r="15" spans="1:4" x14ac:dyDescent="0.25">
      <c r="D15" s="14"/>
    </row>
    <row r="16" spans="1:4" x14ac:dyDescent="0.25">
      <c r="A16" s="16" t="s">
        <v>200</v>
      </c>
      <c r="B16" s="16" t="s">
        <v>9</v>
      </c>
    </row>
    <row r="17" spans="1:2" x14ac:dyDescent="0.25">
      <c r="A17" t="s">
        <v>204</v>
      </c>
      <c r="B17">
        <v>0</v>
      </c>
    </row>
    <row r="18" spans="1:2" x14ac:dyDescent="0.25">
      <c r="A18" t="s">
        <v>201</v>
      </c>
      <c r="B18">
        <v>0.5</v>
      </c>
    </row>
    <row r="19" spans="1:2" x14ac:dyDescent="0.25">
      <c r="A19" t="s">
        <v>202</v>
      </c>
      <c r="B19">
        <v>0.5</v>
      </c>
    </row>
    <row r="20" spans="1:2" x14ac:dyDescent="0.25">
      <c r="A20" t="s">
        <v>203</v>
      </c>
      <c r="B20">
        <v>0</v>
      </c>
    </row>
  </sheetData>
  <sortState ref="A17:B20">
    <sortCondition ref="A17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F18" sqref="F18"/>
    </sheetView>
  </sheetViews>
  <sheetFormatPr defaultRowHeight="15" x14ac:dyDescent="0.25"/>
  <cols>
    <col min="1" max="1" width="25.5703125" customWidth="1"/>
    <col min="2" max="2" width="11.140625" customWidth="1"/>
    <col min="3" max="3" width="12" customWidth="1"/>
    <col min="4" max="4" width="14.7109375" hidden="1" customWidth="1"/>
    <col min="5" max="5" width="12.140625" customWidth="1"/>
    <col min="6" max="6" width="10.85546875" customWidth="1"/>
    <col min="7" max="7" width="8.140625" hidden="1" customWidth="1"/>
    <col min="8" max="8" width="10.42578125" customWidth="1"/>
    <col min="9" max="9" width="9.28515625" bestFit="1" customWidth="1"/>
    <col min="10" max="12" width="9.28515625" hidden="1" customWidth="1"/>
    <col min="13" max="13" width="13.42578125" bestFit="1" customWidth="1"/>
    <col min="14" max="14" width="19" hidden="1" customWidth="1"/>
    <col min="15" max="15" width="9.140625" hidden="1" customWidth="1"/>
    <col min="16" max="16" width="7.85546875" bestFit="1" customWidth="1"/>
    <col min="17" max="18" width="7.7109375" hidden="1" customWidth="1"/>
    <col min="19" max="19" width="10.28515625" hidden="1" customWidth="1"/>
    <col min="20" max="20" width="8.85546875" hidden="1" customWidth="1"/>
    <col min="21" max="21" width="9.140625" bestFit="1" customWidth="1"/>
    <col min="22" max="22" width="11.42578125" hidden="1" customWidth="1"/>
    <col min="23" max="23" width="15.28515625" hidden="1" customWidth="1"/>
    <col min="24" max="24" width="7.7109375" hidden="1" customWidth="1"/>
    <col min="25" max="25" width="8.5703125" hidden="1" customWidth="1"/>
  </cols>
  <sheetData>
    <row r="1" spans="1:25" s="5" customFormat="1" x14ac:dyDescent="0.25">
      <c r="A1" s="17" t="s">
        <v>208</v>
      </c>
      <c r="B1" s="5" t="str">
        <f>'Aerial Platform'!B2</f>
        <v>Predator</v>
      </c>
      <c r="C1" s="5" t="str">
        <f>'Aerial Platform'!C2</f>
        <v>Gray Eagle</v>
      </c>
      <c r="D1" s="5" t="str">
        <f>'Aerial Platform'!D2</f>
        <v>Global Hawk A</v>
      </c>
      <c r="E1" s="5" t="str">
        <f>'Aerial Platform'!E2</f>
        <v>Global Hawk</v>
      </c>
      <c r="F1" s="5" t="str">
        <f>'Aerial Platform'!F2</f>
        <v>Triton</v>
      </c>
      <c r="G1" s="5" t="str">
        <f>'Aerial Platform'!G2</f>
        <v>Shadow</v>
      </c>
      <c r="H1" s="5" t="str">
        <f>'Aerial Platform'!H2</f>
        <v>Fire Scout</v>
      </c>
      <c r="I1" s="5" t="str">
        <f>'Aerial Platform'!I2</f>
        <v>Reaper</v>
      </c>
      <c r="J1" s="5" t="str">
        <f>'Aerial Platform'!J2</f>
        <v>Raven</v>
      </c>
      <c r="K1" s="5" t="str">
        <f>'Aerial Platform'!K2</f>
        <v>Neptune</v>
      </c>
      <c r="L1" s="5" t="str">
        <f>'Aerial Platform'!L2</f>
        <v>T-Hawk</v>
      </c>
      <c r="M1" s="5" t="str">
        <f>'Aerial Platform'!M2</f>
        <v>Hummingbird</v>
      </c>
      <c r="N1" s="5" t="str">
        <f>'Aerial Platform'!N2</f>
        <v>Aerosonde Mark 4.7</v>
      </c>
      <c r="O1" s="5" t="str">
        <f>'Aerial Platform'!O2</f>
        <v>Blackjack</v>
      </c>
      <c r="P1" s="5" t="str">
        <f>'Aerial Platform'!P2</f>
        <v>UCAS-D</v>
      </c>
      <c r="Q1" s="5" t="str">
        <f>'Aerial Platform'!Q2</f>
        <v>Wasp</v>
      </c>
      <c r="R1" s="5" t="str">
        <f>'Aerial Platform'!R2</f>
        <v>Shrike</v>
      </c>
      <c r="S1" s="5" t="str">
        <f>'Aerial Platform'!S2</f>
        <v>Scan Eagle</v>
      </c>
      <c r="T1" s="5" t="str">
        <f>'Aerial Platform'!T2</f>
        <v>Puma AE</v>
      </c>
      <c r="U1" s="5" t="str">
        <f>'Aerial Platform'!U2</f>
        <v>PTDS 74K</v>
      </c>
      <c r="V1" s="5" t="str">
        <f>'Aerial Platform'!V2</f>
        <v>RAID Tower</v>
      </c>
      <c r="W1" s="5" t="str">
        <f>'Aerial Platform'!W2</f>
        <v>Cerberus Tower</v>
      </c>
      <c r="X1" s="5" t="str">
        <f>'Aerial Platform'!X2</f>
        <v>TIF-25K</v>
      </c>
      <c r="Y1" s="5" t="str">
        <f>'Aerial Platform'!Y2</f>
        <v>Avenger</v>
      </c>
    </row>
    <row r="2" spans="1:25" x14ac:dyDescent="0.25">
      <c r="A2" t="str">
        <f>'Tradeoff weights'!A2</f>
        <v>Useful load</v>
      </c>
      <c r="B2" s="14">
        <f>'Tradeoff weights'!$D2*IF('Aerial Platform'!B10&lt;=MIN('Useful load'!$A$2:$A$12),0,IF('Aerial Platform'!B10&gt;=MAX('Useful load'!$A$2:$A$12),1,(1/'Useful load'!$B$16)*(1-EXP('Useful load'!$B$14*('Aerial Platform'!B10-MIN('Useful load'!$A$2:$A$12))^'Useful load'!$B$15))))</f>
        <v>8.9499999999999996E-2</v>
      </c>
      <c r="C2" s="14">
        <f>'Tradeoff weights'!$D2*IF('Aerial Platform'!C10&lt;=MIN('Useful load'!$A$2:$A$12),0,IF('Aerial Platform'!C10&gt;=MAX('Useful load'!$A$2:$A$12),1,(1/'Useful load'!$B$16)*(1-EXP('Useful load'!$B$14*('Aerial Platform'!C10-MIN('Useful load'!$A$2:$A$12))^'Useful load'!$B$15))))</f>
        <v>8.9499999999999996E-2</v>
      </c>
      <c r="D2" s="14">
        <f>'Tradeoff weights'!$D2*IF('Aerial Platform'!D10&lt;=MIN('Useful load'!$A$2:$A$12),0,IF('Aerial Platform'!D10&gt;=MAX('Useful load'!$A$2:$A$12),1,(1/'Useful load'!$B$16)*(1-EXP('Useful load'!$B$14*('Aerial Platform'!D10-MIN('Useful load'!$A$2:$A$12))^'Useful load'!$B$15))))</f>
        <v>8.9499999999999996E-2</v>
      </c>
      <c r="E2" s="14">
        <f>'Tradeoff weights'!$D2*IF('Aerial Platform'!E10&lt;=MIN('Useful load'!$A$2:$A$12),0,IF('Aerial Platform'!E10&gt;=MAX('Useful load'!$A$2:$A$12),1,(1/'Useful load'!$B$16)*(1-EXP('Useful load'!$B$14*('Aerial Platform'!E10-MIN('Useful load'!$A$2:$A$12))^'Useful load'!$B$15))))</f>
        <v>8.9499999999999996E-2</v>
      </c>
      <c r="F2" s="14">
        <f>'Tradeoff weights'!$D2*IF('Aerial Platform'!F10&lt;=MIN('Useful load'!$A$2:$A$12),0,IF('Aerial Platform'!F10&gt;=MAX('Useful load'!$A$2:$A$12),1,(1/'Useful load'!$B$16)*(1-EXP('Useful load'!$B$14*('Aerial Platform'!F10-MIN('Useful load'!$A$2:$A$12))^'Useful load'!$B$15))))</f>
        <v>8.9499999999999996E-2</v>
      </c>
      <c r="G2" s="14">
        <f>'Tradeoff weights'!$D2*IF('Aerial Platform'!G10&lt;=MIN('Useful load'!$A$2:$A$12),0,IF('Aerial Platform'!G10&gt;=MAX('Useful load'!$A$2:$A$12),1,(1/'Useful load'!$B$16)*(1-EXP('Useful load'!$B$14*('Aerial Platform'!G10-MIN('Useful load'!$A$2:$A$12))^'Useful load'!$B$15))))</f>
        <v>8.9499999999999996E-2</v>
      </c>
      <c r="H2" s="14">
        <f>'Tradeoff weights'!$D2*IF('Aerial Platform'!H10&lt;=MIN('Useful load'!$A$2:$A$12),0,IF('Aerial Platform'!H10&gt;=MAX('Useful load'!$A$2:$A$12),1,(1/'Useful load'!$B$16)*(1-EXP('Useful load'!$B$14*('Aerial Platform'!H10-MIN('Useful load'!$A$2:$A$12))^'Useful load'!$B$15))))</f>
        <v>8.9499999999999996E-2</v>
      </c>
      <c r="I2" s="14">
        <f>'Tradeoff weights'!$D2*IF('Aerial Platform'!I10&lt;=MIN('Useful load'!$A$2:$A$12),0,IF('Aerial Platform'!I10&gt;=MAX('Useful load'!$A$2:$A$12),1,(1/'Useful load'!$B$16)*(1-EXP('Useful load'!$B$14*('Aerial Platform'!I10-MIN('Useful load'!$A$2:$A$12))^'Useful load'!$B$15))))</f>
        <v>8.9499999999999996E-2</v>
      </c>
      <c r="J2" s="14">
        <f>'Tradeoff weights'!$D2*IF('Aerial Platform'!J10&lt;=MIN('Useful load'!$A$2:$A$12),0,IF('Aerial Platform'!J10&gt;=MAX('Useful load'!$A$2:$A$12),1,(1/'Useful load'!$B$16)*(1-EXP('Useful load'!$B$14*('Aerial Platform'!J10-MIN('Useful load'!$A$2:$A$12))^'Useful load'!$B$15))))</f>
        <v>0</v>
      </c>
      <c r="K2" s="14">
        <f>'Tradeoff weights'!$D2*IF('Aerial Platform'!K10&lt;=MIN('Useful load'!$A$2:$A$12),0,IF('Aerial Platform'!K10&gt;=MAX('Useful load'!$A$2:$A$12),1,(1/'Useful load'!$B$16)*(1-EXP('Useful load'!$B$14*('Aerial Platform'!K10-MIN('Useful load'!$A$2:$A$12))^'Useful load'!$B$15))))</f>
        <v>7.4802496787145178E-2</v>
      </c>
      <c r="L2" s="14">
        <f>'Tradeoff weights'!$D2*IF('Aerial Platform'!L10&lt;=MIN('Useful load'!$A$2:$A$12),0,IF('Aerial Platform'!L10&gt;=MAX('Useful load'!$A$2:$A$12),1,(1/'Useful load'!$B$16)*(1-EXP('Useful load'!$B$14*('Aerial Platform'!L10-MIN('Useful load'!$A$2:$A$12))^'Useful load'!$B$15))))</f>
        <v>0</v>
      </c>
      <c r="M2" s="14">
        <f>'Tradeoff weights'!$D2*IF('Aerial Platform'!M10&lt;=MIN('Useful load'!$A$2:$A$12),0,IF('Aerial Platform'!M10&gt;=MAX('Useful load'!$A$2:$A$12),1,(1/'Useful load'!$B$16)*(1-EXP('Useful load'!$B$14*('Aerial Platform'!M10-MIN('Useful load'!$A$2:$A$12))^'Useful load'!$B$15))))</f>
        <v>8.9499999999999996E-2</v>
      </c>
      <c r="N2" s="14">
        <f>'Tradeoff weights'!$D2*IF('Aerial Platform'!N10&lt;=MIN('Useful load'!$A$2:$A$12),0,IF('Aerial Platform'!N10&gt;=MAX('Useful load'!$A$2:$A$12),1,(1/'Useful load'!$B$16)*(1-EXP('Useful load'!$B$14*('Aerial Platform'!N10-MIN('Useful load'!$A$2:$A$12))^'Useful load'!$B$15))))</f>
        <v>5.2610873329832469E-2</v>
      </c>
      <c r="O2" s="14">
        <f>'Tradeoff weights'!$D2*IF('Aerial Platform'!O10&lt;=MIN('Useful load'!$A$2:$A$12),0,IF('Aerial Platform'!O10&gt;=MAX('Useful load'!$A$2:$A$12),1,(1/'Useful load'!$B$16)*(1-EXP('Useful load'!$B$14*('Aerial Platform'!O10-MIN('Useful load'!$A$2:$A$12))^'Useful load'!$B$15))))</f>
        <v>8.6413122234540785E-2</v>
      </c>
      <c r="P2" s="14">
        <f>'Tradeoff weights'!$D2*IF('Aerial Platform'!P10&lt;=MIN('Useful load'!$A$2:$A$12),0,IF('Aerial Platform'!P10&gt;=MAX('Useful load'!$A$2:$A$12),1,(1/'Useful load'!$B$16)*(1-EXP('Useful load'!$B$14*('Aerial Platform'!P10-MIN('Useful load'!$A$2:$A$12))^'Useful load'!$B$15))))</f>
        <v>8.9499999999999996E-2</v>
      </c>
      <c r="Q2" s="14">
        <f>'Tradeoff weights'!$D2*IF('Aerial Platform'!Q10&lt;=MIN('Useful load'!$A$2:$A$12),0,IF('Aerial Platform'!Q10&gt;=MAX('Useful load'!$A$2:$A$12),1,(1/'Useful load'!$B$16)*(1-EXP('Useful load'!$B$14*('Aerial Platform'!Q10-MIN('Useful load'!$A$2:$A$12))^'Useful load'!$B$15))))</f>
        <v>0</v>
      </c>
      <c r="R2" s="14">
        <f>'Tradeoff weights'!$D2*IF('Aerial Platform'!R10&lt;=MIN('Useful load'!$A$2:$A$12),0,IF('Aerial Platform'!R10&gt;=MAX('Useful load'!$A$2:$A$12),1,(1/'Useful load'!$B$16)*(1-EXP('Useful load'!$B$14*('Aerial Platform'!R10-MIN('Useful load'!$A$2:$A$12))^'Useful load'!$B$15))))</f>
        <v>0</v>
      </c>
      <c r="S2" s="14">
        <f>'Tradeoff weights'!$D2*IF('Aerial Platform'!S10&lt;=MIN('Useful load'!$A$2:$A$12),0,IF('Aerial Platform'!S10&gt;=MAX('Useful load'!$A$2:$A$12),1,(1/'Useful load'!$B$16)*(1-EXP('Useful load'!$B$14*('Aerial Platform'!S10-MIN('Useful load'!$A$2:$A$12))^'Useful load'!$B$15))))</f>
        <v>4.1491951686403038E-2</v>
      </c>
      <c r="T2" s="14">
        <f>'Tradeoff weights'!$D2*IF('Aerial Platform'!T10&lt;=MIN('Useful load'!$A$2:$A$12),0,IF('Aerial Platform'!T10&gt;=MAX('Useful load'!$A$2:$A$12),1,(1/'Useful load'!$B$16)*(1-EXP('Useful load'!$B$14*('Aerial Platform'!T10-MIN('Useful load'!$A$2:$A$12))^'Useful load'!$B$15))))</f>
        <v>0</v>
      </c>
      <c r="U2" s="14">
        <f>'Tradeoff weights'!$D2*IF('Aerial Platform'!U10&lt;=MIN('Useful load'!$A$2:$A$12),0,IF('Aerial Platform'!U10&gt;=MAX('Useful load'!$A$2:$A$12),1,(1/'Useful load'!$B$16)*(1-EXP('Useful load'!$B$14*('Aerial Platform'!U10-MIN('Useful load'!$A$2:$A$12))^'Useful load'!$B$15))))</f>
        <v>8.9499999999999996E-2</v>
      </c>
      <c r="V2" s="14">
        <f>'Tradeoff weights'!$D2*IF('Aerial Platform'!V10&lt;=MIN('Useful load'!$A$2:$A$12),0,IF('Aerial Platform'!V10&gt;=MAX('Useful load'!$A$2:$A$12),1,(1/'Useful load'!$B$16)*(1-EXP('Useful load'!$B$14*('Aerial Platform'!V10-MIN('Useful load'!$A$2:$A$12))^'Useful load'!$B$15))))</f>
        <v>8.9499999999999996E-2</v>
      </c>
      <c r="W2" s="14">
        <f>'Tradeoff weights'!$D2*IF('Aerial Platform'!W10&lt;=MIN('Useful load'!$A$2:$A$12),0,IF('Aerial Platform'!W10&gt;=MAX('Useful load'!$A$2:$A$12),1,(1/'Useful load'!$B$16)*(1-EXP('Useful load'!$B$14*('Aerial Platform'!W10-MIN('Useful load'!$A$2:$A$12))^'Useful load'!$B$15))))</f>
        <v>8.9499999999999996E-2</v>
      </c>
      <c r="X2" s="14">
        <f>'Tradeoff weights'!$D2*IF('Aerial Platform'!X10&lt;=MIN('Useful load'!$A$2:$A$12),0,IF('Aerial Platform'!X10&gt;=MAX('Useful load'!$A$2:$A$12),1,(1/'Useful load'!$B$16)*(1-EXP('Useful load'!$B$14*('Aerial Platform'!X10-MIN('Useful load'!$A$2:$A$12))^'Useful load'!$B$15))))</f>
        <v>8.9499999999999996E-2</v>
      </c>
      <c r="Y2" s="14">
        <f>'Tradeoff weights'!$D2*IF('Aerial Platform'!Y10&lt;=MIN('Useful load'!$A$2:$A$12),0,IF('Aerial Platform'!Y10&gt;=MAX('Useful load'!$A$2:$A$12),1,(1/'Useful load'!$B$16)*(1-EXP('Useful load'!$B$14*('Aerial Platform'!Y10-MIN('Useful load'!$A$2:$A$12))^'Useful load'!$B$15))))</f>
        <v>8.9499999999999996E-2</v>
      </c>
    </row>
    <row r="3" spans="1:25" x14ac:dyDescent="0.25">
      <c r="A3" t="str">
        <f>'Tradeoff weights'!A3</f>
        <v>Ceiling</v>
      </c>
      <c r="B3" s="14">
        <f>'Tradeoff weights'!$D3*IF('Aerial Platform'!B11&lt;=MIN(Ceiling!$A$2:$A$12),0,IF('Aerial Platform'!B11&gt;=MAX(Ceiling!$A$2:$A$12),1,(1/Ceiling!$B$16)*(1-EXP(Ceiling!$B$14*('Aerial Platform'!B11-MIN(Ceiling!$A$2:$A$12))^Ceiling!$B$15))))</f>
        <v>3.8520858676858671E-2</v>
      </c>
      <c r="C3" s="14">
        <f>'Tradeoff weights'!$D3*IF('Aerial Platform'!C11&lt;=MIN(Ceiling!$A$2:$A$12),0,IF('Aerial Platform'!C11&gt;=MAX(Ceiling!$A$2:$A$12),1,(1/Ceiling!$B$16)*(1-EXP(Ceiling!$B$14*('Aerial Platform'!C11-MIN(Ceiling!$A$2:$A$12))^Ceiling!$B$15))))</f>
        <v>6.1044007148093327E-2</v>
      </c>
      <c r="D3" s="14">
        <f>'Tradeoff weights'!$D3*IF('Aerial Platform'!D11&lt;=MIN(Ceiling!$A$2:$A$12),0,IF('Aerial Platform'!D11&gt;=MAX(Ceiling!$A$2:$A$12),1,(1/Ceiling!$B$16)*(1-EXP(Ceiling!$B$14*('Aerial Platform'!D11-MIN(Ceiling!$A$2:$A$12))^Ceiling!$B$15))))</f>
        <v>0.113</v>
      </c>
      <c r="E3" s="14">
        <f>'Tradeoff weights'!$D3*IF('Aerial Platform'!E11&lt;=MIN(Ceiling!$A$2:$A$12),0,IF('Aerial Platform'!E11&gt;=MAX(Ceiling!$A$2:$A$12),1,(1/Ceiling!$B$16)*(1-EXP(Ceiling!$B$14*('Aerial Platform'!E11-MIN(Ceiling!$A$2:$A$12))^Ceiling!$B$15))))</f>
        <v>0.113</v>
      </c>
      <c r="F3" s="14">
        <f>'Tradeoff weights'!$D3*IF('Aerial Platform'!F11&lt;=MIN(Ceiling!$A$2:$A$12),0,IF('Aerial Platform'!F11&gt;=MAX(Ceiling!$A$2:$A$12),1,(1/Ceiling!$B$16)*(1-EXP(Ceiling!$B$14*('Aerial Platform'!F11-MIN(Ceiling!$A$2:$A$12))^Ceiling!$B$15))))</f>
        <v>0.113</v>
      </c>
      <c r="G3" s="14">
        <f>'Tradeoff weights'!$D3*IF('Aerial Platform'!G11&lt;=MIN(Ceiling!$A$2:$A$12),0,IF('Aerial Platform'!G11&gt;=MAX(Ceiling!$A$2:$A$12),1,(1/Ceiling!$B$16)*(1-EXP(Ceiling!$B$14*('Aerial Platform'!G11-MIN(Ceiling!$A$2:$A$12))^Ceiling!$B$15))))</f>
        <v>0</v>
      </c>
      <c r="H3" s="14">
        <f>'Tradeoff weights'!$D3*IF('Aerial Platform'!H11&lt;=MIN(Ceiling!$A$2:$A$12),0,IF('Aerial Platform'!H11&gt;=MAX(Ceiling!$A$2:$A$12),1,(1/Ceiling!$B$16)*(1-EXP(Ceiling!$B$14*('Aerial Platform'!H11-MIN(Ceiling!$A$2:$A$12))^Ceiling!$B$15))))</f>
        <v>0</v>
      </c>
      <c r="I3" s="14">
        <f>'Tradeoff weights'!$D3*IF('Aerial Platform'!I11&lt;=MIN(Ceiling!$A$2:$A$12),0,IF('Aerial Platform'!I11&gt;=MAX(Ceiling!$A$2:$A$12),1,(1/Ceiling!$B$16)*(1-EXP(Ceiling!$B$14*('Aerial Platform'!I11-MIN(Ceiling!$A$2:$A$12))^Ceiling!$B$15))))</f>
        <v>0.113</v>
      </c>
      <c r="J3" s="14">
        <f>'Tradeoff weights'!$D3*IF('Aerial Platform'!J11&lt;=MIN(Ceiling!$A$2:$A$12),0,IF('Aerial Platform'!J11&gt;=MAX(Ceiling!$A$2:$A$12),1,(1/Ceiling!$B$16)*(1-EXP(Ceiling!$B$14*('Aerial Platform'!J11-MIN(Ceiling!$A$2:$A$12))^Ceiling!$B$15))))</f>
        <v>0</v>
      </c>
      <c r="K3" s="14">
        <f>'Tradeoff weights'!$D3*IF('Aerial Platform'!K11&lt;=MIN(Ceiling!$A$2:$A$12),0,IF('Aerial Platform'!K11&gt;=MAX(Ceiling!$A$2:$A$12),1,(1/Ceiling!$B$16)*(1-EXP(Ceiling!$B$14*('Aerial Platform'!K11-MIN(Ceiling!$A$2:$A$12))^Ceiling!$B$15))))</f>
        <v>0</v>
      </c>
      <c r="L3" s="14">
        <f>'Tradeoff weights'!$D3*IF('Aerial Platform'!L11&lt;=MIN(Ceiling!$A$2:$A$12),0,IF('Aerial Platform'!L11&gt;=MAX(Ceiling!$A$2:$A$12),1,(1/Ceiling!$B$16)*(1-EXP(Ceiling!$B$14*('Aerial Platform'!L11-MIN(Ceiling!$A$2:$A$12))^Ceiling!$B$15))))</f>
        <v>0</v>
      </c>
      <c r="M3" s="14">
        <f>'Tradeoff weights'!$D3*IF('Aerial Platform'!M11&lt;=MIN(Ceiling!$A$2:$A$12),0,IF('Aerial Platform'!M11&gt;=MAX(Ceiling!$A$2:$A$12),1,(1/Ceiling!$B$16)*(1-EXP(Ceiling!$B$14*('Aerial Platform'!M11-MIN(Ceiling!$A$2:$A$12))^Ceiling!$B$15))))</f>
        <v>0</v>
      </c>
      <c r="N3" s="14">
        <f>'Tradeoff weights'!$D3*IF('Aerial Platform'!N11&lt;=MIN(Ceiling!$A$2:$A$12),0,IF('Aerial Platform'!N11&gt;=MAX(Ceiling!$A$2:$A$12),1,(1/Ceiling!$B$16)*(1-EXP(Ceiling!$B$14*('Aerial Platform'!N11-MIN(Ceiling!$A$2:$A$12))^Ceiling!$B$15))))</f>
        <v>0</v>
      </c>
      <c r="O3" s="14">
        <f>'Tradeoff weights'!$D3*IF('Aerial Platform'!O11&lt;=MIN(Ceiling!$A$2:$A$12),0,IF('Aerial Platform'!O11&gt;=MAX(Ceiling!$A$2:$A$12),1,(1/Ceiling!$B$16)*(1-EXP(Ceiling!$B$14*('Aerial Platform'!O11-MIN(Ceiling!$A$2:$A$12))^Ceiling!$B$15))))</f>
        <v>0</v>
      </c>
      <c r="P3" s="14">
        <f>'Tradeoff weights'!$D3*IF('Aerial Platform'!P11&lt;=MIN(Ceiling!$A$2:$A$12),0,IF('Aerial Platform'!P11&gt;=MAX(Ceiling!$A$2:$A$12),1,(1/Ceiling!$B$16)*(1-EXP(Ceiling!$B$14*('Aerial Platform'!P11-MIN(Ceiling!$A$2:$A$12))^Ceiling!$B$15))))</f>
        <v>9.7736205235916751E-2</v>
      </c>
      <c r="Q3" s="14">
        <f>'Tradeoff weights'!$D3*IF('Aerial Platform'!Q11&lt;=MIN(Ceiling!$A$2:$A$12),0,IF('Aerial Platform'!Q11&gt;=MAX(Ceiling!$A$2:$A$12),1,(1/Ceiling!$B$16)*(1-EXP(Ceiling!$B$14*('Aerial Platform'!Q11-MIN(Ceiling!$A$2:$A$12))^Ceiling!$B$15))))</f>
        <v>0</v>
      </c>
      <c r="R3" s="14">
        <f>'Tradeoff weights'!$D3*IF('Aerial Platform'!R11&lt;=MIN(Ceiling!$A$2:$A$12),0,IF('Aerial Platform'!R11&gt;=MAX(Ceiling!$A$2:$A$12),1,(1/Ceiling!$B$16)*(1-EXP(Ceiling!$B$14*('Aerial Platform'!R11-MIN(Ceiling!$A$2:$A$12))^Ceiling!$B$15))))</f>
        <v>0</v>
      </c>
      <c r="S3" s="14">
        <f>'Tradeoff weights'!$D3*IF('Aerial Platform'!S11&lt;=MIN(Ceiling!$A$2:$A$12),0,IF('Aerial Platform'!S11&gt;=MAX(Ceiling!$A$2:$A$12),1,(1/Ceiling!$B$16)*(1-EXP(Ceiling!$B$14*('Aerial Platform'!S11-MIN(Ceiling!$A$2:$A$12))^Ceiling!$B$15))))</f>
        <v>0</v>
      </c>
      <c r="T3" s="14">
        <f>'Tradeoff weights'!$D3*IF('Aerial Platform'!T11&lt;=MIN(Ceiling!$A$2:$A$12),0,IF('Aerial Platform'!T11&gt;=MAX(Ceiling!$A$2:$A$12),1,(1/Ceiling!$B$16)*(1-EXP(Ceiling!$B$14*('Aerial Platform'!T11-MIN(Ceiling!$A$2:$A$12))^Ceiling!$B$15))))</f>
        <v>0</v>
      </c>
      <c r="U3" s="14">
        <f>'Tradeoff weights'!$D3*IF('Aerial Platform'!U11&lt;=MIN(Ceiling!$A$2:$A$12),0,IF('Aerial Platform'!U11&gt;=MAX(Ceiling!$A$2:$A$12),1,(1/Ceiling!$B$16)*(1-EXP(Ceiling!$B$14*('Aerial Platform'!U11-MIN(Ceiling!$A$2:$A$12))^Ceiling!$B$15))))</f>
        <v>0</v>
      </c>
      <c r="V3" s="14">
        <f>'Tradeoff weights'!$D3*IF('Aerial Platform'!V11&lt;=MIN(Ceiling!$A$2:$A$12),0,IF('Aerial Platform'!V11&gt;=MAX(Ceiling!$A$2:$A$12),1,(1/Ceiling!$B$16)*(1-EXP(Ceiling!$B$14*('Aerial Platform'!V11-MIN(Ceiling!$A$2:$A$12))^Ceiling!$B$15))))</f>
        <v>0</v>
      </c>
      <c r="W3" s="14">
        <f>'Tradeoff weights'!$D3*IF('Aerial Platform'!W11&lt;=MIN(Ceiling!$A$2:$A$12),0,IF('Aerial Platform'!W11&gt;=MAX(Ceiling!$A$2:$A$12),1,(1/Ceiling!$B$16)*(1-EXP(Ceiling!$B$14*('Aerial Platform'!W11-MIN(Ceiling!$A$2:$A$12))^Ceiling!$B$15))))</f>
        <v>0</v>
      </c>
      <c r="X3" s="14">
        <f>'Tradeoff weights'!$D3*IF('Aerial Platform'!X11&lt;=MIN(Ceiling!$A$2:$A$12),0,IF('Aerial Platform'!X11&gt;=MAX(Ceiling!$A$2:$A$12),1,(1/Ceiling!$B$16)*(1-EXP(Ceiling!$B$14*('Aerial Platform'!X11-MIN(Ceiling!$A$2:$A$12))^Ceiling!$B$15))))</f>
        <v>0</v>
      </c>
      <c r="Y3" s="14">
        <f>'Tradeoff weights'!$D3*IF('Aerial Platform'!Y11&lt;=MIN(Ceiling!$A$2:$A$12),0,IF('Aerial Platform'!Y11&gt;=MAX(Ceiling!$A$2:$A$12),1,(1/Ceiling!$B$16)*(1-EXP(Ceiling!$B$14*('Aerial Platform'!Y11-MIN(Ceiling!$A$2:$A$12))^Ceiling!$B$15))))</f>
        <v>0.113</v>
      </c>
    </row>
    <row r="4" spans="1:25" x14ac:dyDescent="0.25">
      <c r="A4" t="str">
        <f>'Tradeoff weights'!A4</f>
        <v>Endurance</v>
      </c>
      <c r="B4" s="14">
        <f>'Tradeoff weights'!$D4*IF('Aerial Platform'!B12&lt;=MIN(Endurance!$A$2:$A$12),0,IF('Aerial Platform'!B12&gt;=MAX(Endurance!$A$2:$A$12),1,(1/Endurance!$B$16)*(1-EXP(Endurance!$B$14*('Aerial Platform'!B12-MIN(Endurance!$A$2:$A$12))^Endurance!$B$15))))</f>
        <v>8.9499999999999996E-2</v>
      </c>
      <c r="C4" s="14">
        <f>'Tradeoff weights'!$D4*IF('Aerial Platform'!C12&lt;=MIN(Endurance!$A$2:$A$12),0,IF('Aerial Platform'!C12&gt;=MAX(Endurance!$A$2:$A$12),1,(1/Endurance!$B$16)*(1-EXP(Endurance!$B$14*('Aerial Platform'!C12-MIN(Endurance!$A$2:$A$12))^Endurance!$B$15))))</f>
        <v>8.9499999999999996E-2</v>
      </c>
      <c r="D4" s="14">
        <f>'Tradeoff weights'!$D4*IF('Aerial Platform'!D12&lt;=MIN(Endurance!$A$2:$A$12),0,IF('Aerial Platform'!D12&gt;=MAX(Endurance!$A$2:$A$12),1,(1/Endurance!$B$16)*(1-EXP(Endurance!$B$14*('Aerial Platform'!D12-MIN(Endurance!$A$2:$A$12))^Endurance!$B$15))))</f>
        <v>8.9499999999999996E-2</v>
      </c>
      <c r="E4" s="14">
        <f>'Tradeoff weights'!$D4*IF('Aerial Platform'!E12&lt;=MIN(Endurance!$A$2:$A$12),0,IF('Aerial Platform'!E12&gt;=MAX(Endurance!$A$2:$A$12),1,(1/Endurance!$B$16)*(1-EXP(Endurance!$B$14*('Aerial Platform'!E12-MIN(Endurance!$A$2:$A$12))^Endurance!$B$15))))</f>
        <v>8.9499999999999996E-2</v>
      </c>
      <c r="F4" s="14">
        <f>'Tradeoff weights'!$D4*IF('Aerial Platform'!F12&lt;=MIN(Endurance!$A$2:$A$12),0,IF('Aerial Platform'!F12&gt;=MAX(Endurance!$A$2:$A$12),1,(1/Endurance!$B$16)*(1-EXP(Endurance!$B$14*('Aerial Platform'!F12-MIN(Endurance!$A$2:$A$12))^Endurance!$B$15))))</f>
        <v>8.9499999999999996E-2</v>
      </c>
      <c r="G4" s="14">
        <f>'Tradeoff weights'!$D4*IF('Aerial Platform'!G12&lt;=MIN(Endurance!$A$2:$A$12),0,IF('Aerial Platform'!G12&gt;=MAX(Endurance!$A$2:$A$12),1,(1/Endurance!$B$16)*(1-EXP(Endurance!$B$14*('Aerial Platform'!G12-MIN(Endurance!$A$2:$A$12))^Endurance!$B$15))))</f>
        <v>0</v>
      </c>
      <c r="H4" s="14">
        <f>'Tradeoff weights'!$D4*IF('Aerial Platform'!H12&lt;=MIN(Endurance!$A$2:$A$12),0,IF('Aerial Platform'!H12&gt;=MAX(Endurance!$A$2:$A$12),1,(1/Endurance!$B$16)*(1-EXP(Endurance!$B$14*('Aerial Platform'!H12-MIN(Endurance!$A$2:$A$12))^Endurance!$B$15))))</f>
        <v>6.7124999627381401E-2</v>
      </c>
      <c r="I4" s="14">
        <f>'Tradeoff weights'!$D4*IF('Aerial Platform'!I12&lt;=MIN(Endurance!$A$2:$A$12),0,IF('Aerial Platform'!I12&gt;=MAX(Endurance!$A$2:$A$12),1,(1/Endurance!$B$16)*(1-EXP(Endurance!$B$14*('Aerial Platform'!I12-MIN(Endurance!$A$2:$A$12))^Endurance!$B$15))))</f>
        <v>8.9499999999999996E-2</v>
      </c>
      <c r="J4" s="14">
        <f>'Tradeoff weights'!$D4*IF('Aerial Platform'!J12&lt;=MIN(Endurance!$A$2:$A$12),0,IF('Aerial Platform'!J12&gt;=MAX(Endurance!$A$2:$A$12),1,(1/Endurance!$B$16)*(1-EXP(Endurance!$B$14*('Aerial Platform'!J12-MIN(Endurance!$A$2:$A$12))^Endurance!$B$15))))</f>
        <v>0</v>
      </c>
      <c r="K4" s="14">
        <f>'Tradeoff weights'!$D4*IF('Aerial Platform'!K12&lt;=MIN(Endurance!$A$2:$A$12),0,IF('Aerial Platform'!K12&gt;=MAX(Endurance!$A$2:$A$12),1,(1/Endurance!$B$16)*(1-EXP(Endurance!$B$14*('Aerial Platform'!K12-MIN(Endurance!$A$2:$A$12))^Endurance!$B$15))))</f>
        <v>0</v>
      </c>
      <c r="L4" s="14">
        <f>'Tradeoff weights'!$D4*IF('Aerial Platform'!L12&lt;=MIN(Endurance!$A$2:$A$12),0,IF('Aerial Platform'!L12&gt;=MAX(Endurance!$A$2:$A$12),1,(1/Endurance!$B$16)*(1-EXP(Endurance!$B$14*('Aerial Platform'!L12-MIN(Endurance!$A$2:$A$12))^Endurance!$B$15))))</f>
        <v>0</v>
      </c>
      <c r="M4" s="14">
        <f>'Tradeoff weights'!$D4*IF('Aerial Platform'!M12&lt;=MIN(Endurance!$A$2:$A$12),0,IF('Aerial Platform'!M12&gt;=MAX(Endurance!$A$2:$A$12),1,(1/Endurance!$B$16)*(1-EXP(Endurance!$B$14*('Aerial Platform'!M12-MIN(Endurance!$A$2:$A$12))^Endurance!$B$15))))</f>
        <v>8.9499999999999996E-2</v>
      </c>
      <c r="N4" s="14">
        <f>'Tradeoff weights'!$D4*IF('Aerial Platform'!N12&lt;=MIN(Endurance!$A$2:$A$12),0,IF('Aerial Platform'!N12&gt;=MAX(Endurance!$A$2:$A$12),1,(1/Endurance!$B$16)*(1-EXP(Endurance!$B$14*('Aerial Platform'!N12-MIN(Endurance!$A$2:$A$12))^Endurance!$B$15))))</f>
        <v>8.9499999999999996E-2</v>
      </c>
      <c r="O4" s="14">
        <f>'Tradeoff weights'!$D4*IF('Aerial Platform'!O12&lt;=MIN(Endurance!$A$2:$A$12),0,IF('Aerial Platform'!O12&gt;=MAX(Endurance!$A$2:$A$12),1,(1/Endurance!$B$16)*(1-EXP(Endurance!$B$14*('Aerial Platform'!O12-MIN(Endurance!$A$2:$A$12))^Endurance!$B$15))))</f>
        <v>8.9499999999999996E-2</v>
      </c>
      <c r="P4" s="14">
        <f>'Tradeoff weights'!$D4*IF('Aerial Platform'!P12&lt;=MIN(Endurance!$A$2:$A$12),0,IF('Aerial Platform'!P12&gt;=MAX(Endurance!$A$2:$A$12),1,(1/Endurance!$B$16)*(1-EXP(Endurance!$B$14*('Aerial Platform'!P12-MIN(Endurance!$A$2:$A$12))^Endurance!$B$15))))</f>
        <v>8.9499999999999996E-2</v>
      </c>
      <c r="Q4" s="14">
        <f>'Tradeoff weights'!$D4*IF('Aerial Platform'!Q12&lt;=MIN(Endurance!$A$2:$A$12),0,IF('Aerial Platform'!Q12&gt;=MAX(Endurance!$A$2:$A$12),1,(1/Endurance!$B$16)*(1-EXP(Endurance!$B$14*('Aerial Platform'!Q12-MIN(Endurance!$A$2:$A$12))^Endurance!$B$15))))</f>
        <v>0</v>
      </c>
      <c r="R4" s="14">
        <f>'Tradeoff weights'!$D4*IF('Aerial Platform'!R12&lt;=MIN(Endurance!$A$2:$A$12),0,IF('Aerial Platform'!R12&gt;=MAX(Endurance!$A$2:$A$12),1,(1/Endurance!$B$16)*(1-EXP(Endurance!$B$14*('Aerial Platform'!R12-MIN(Endurance!$A$2:$A$12))^Endurance!$B$15))))</f>
        <v>0</v>
      </c>
      <c r="S4" s="14">
        <f>'Tradeoff weights'!$D4*IF('Aerial Platform'!S12&lt;=MIN(Endurance!$A$2:$A$12),0,IF('Aerial Platform'!S12&gt;=MAX(Endurance!$A$2:$A$12),1,(1/Endurance!$B$16)*(1-EXP(Endurance!$B$14*('Aerial Platform'!S12-MIN(Endurance!$A$2:$A$12))^Endurance!$B$15))))</f>
        <v>8.9499999999999996E-2</v>
      </c>
      <c r="T4" s="14">
        <f>'Tradeoff weights'!$D4*IF('Aerial Platform'!T12&lt;=MIN(Endurance!$A$2:$A$12),0,IF('Aerial Platform'!T12&gt;=MAX(Endurance!$A$2:$A$12),1,(1/Endurance!$B$16)*(1-EXP(Endurance!$B$14*('Aerial Platform'!T12-MIN(Endurance!$A$2:$A$12))^Endurance!$B$15))))</f>
        <v>0</v>
      </c>
      <c r="U4" s="14">
        <f>'Tradeoff weights'!$D4*IF('Aerial Platform'!U12&lt;=MIN(Endurance!$A$2:$A$12),0,IF('Aerial Platform'!U12&gt;=MAX(Endurance!$A$2:$A$12),1,(1/Endurance!$B$16)*(1-EXP(Endurance!$B$14*('Aerial Platform'!U12-MIN(Endurance!$A$2:$A$12))^Endurance!$B$15))))</f>
        <v>8.9499999999999996E-2</v>
      </c>
      <c r="V4" s="14">
        <f>'Tradeoff weights'!$D4*IF('Aerial Platform'!V12&lt;=MIN(Endurance!$A$2:$A$12),0,IF('Aerial Platform'!V12&gt;=MAX(Endurance!$A$2:$A$12),1,(1/Endurance!$B$16)*(1-EXP(Endurance!$B$14*('Aerial Platform'!V12-MIN(Endurance!$A$2:$A$12))^Endurance!$B$15))))</f>
        <v>8.9499999999999996E-2</v>
      </c>
      <c r="W4" s="14">
        <f>'Tradeoff weights'!$D4*IF('Aerial Platform'!W12&lt;=MIN(Endurance!$A$2:$A$12),0,IF('Aerial Platform'!W12&gt;=MAX(Endurance!$A$2:$A$12),1,(1/Endurance!$B$16)*(1-EXP(Endurance!$B$14*('Aerial Platform'!W12-MIN(Endurance!$A$2:$A$12))^Endurance!$B$15))))</f>
        <v>8.9499999999999996E-2</v>
      </c>
      <c r="X4" s="14">
        <f>'Tradeoff weights'!$D4*IF('Aerial Platform'!X12&lt;=MIN(Endurance!$A$2:$A$12),0,IF('Aerial Platform'!X12&gt;=MAX(Endurance!$A$2:$A$12),1,(1/Endurance!$B$16)*(1-EXP(Endurance!$B$14*('Aerial Platform'!X12-MIN(Endurance!$A$2:$A$12))^Endurance!$B$15))))</f>
        <v>8.9499999999999996E-2</v>
      </c>
      <c r="Y4" s="14">
        <f>'Tradeoff weights'!$D4*IF('Aerial Platform'!Y12&lt;=MIN(Endurance!$A$2:$A$12),0,IF('Aerial Platform'!Y12&gt;=MAX(Endurance!$A$2:$A$12),1,(1/Endurance!$B$16)*(1-EXP(Endurance!$B$14*('Aerial Platform'!Y12-MIN(Endurance!$A$2:$A$12))^Endurance!$B$15))))</f>
        <v>8.9499999999999996E-2</v>
      </c>
    </row>
    <row r="5" spans="1:25" x14ac:dyDescent="0.25">
      <c r="A5" t="str">
        <f>'Tradeoff weights'!A5</f>
        <v>Range</v>
      </c>
      <c r="B5" s="14">
        <f>'Tradeoff weights'!$D5*IF('Aerial Platform'!B13&lt;=MIN(Range!$A$2:$A$12),0,IF('Aerial Platform'!B13&gt;=MAX(Range!$A$2:$A$12),1,(1/Range!$B$16)*(1-EXP(Range!$B$14*('Aerial Platform'!B13-MIN(Range!$A$2:$A$12))^Range!$B$15))))</f>
        <v>8.9499999999999996E-2</v>
      </c>
      <c r="C5" s="14">
        <f>'Tradeoff weights'!$D5*IF('Aerial Platform'!C13&lt;=MIN(Range!$A$2:$A$12),0,IF('Aerial Platform'!C13&gt;=MAX(Range!$A$2:$A$12),1,(1/Range!$B$16)*(1-EXP(Range!$B$14*('Aerial Platform'!C13-MIN(Range!$A$2:$A$12))^Range!$B$15))))</f>
        <v>8.9499999999999996E-2</v>
      </c>
      <c r="D5" s="14">
        <f>'Tradeoff weights'!$D5*IF('Aerial Platform'!D13&lt;=MIN(Range!$A$2:$A$12),0,IF('Aerial Platform'!D13&gt;=MAX(Range!$A$2:$A$12),1,(1/Range!$B$16)*(1-EXP(Range!$B$14*('Aerial Platform'!D13-MIN(Range!$A$2:$A$12))^Range!$B$15))))</f>
        <v>8.9499999999999996E-2</v>
      </c>
      <c r="E5" s="14">
        <f>'Tradeoff weights'!$D5*IF('Aerial Platform'!E13&lt;=MIN(Range!$A$2:$A$12),0,IF('Aerial Platform'!E13&gt;=MAX(Range!$A$2:$A$12),1,(1/Range!$B$16)*(1-EXP(Range!$B$14*('Aerial Platform'!E13-MIN(Range!$A$2:$A$12))^Range!$B$15))))</f>
        <v>8.9499999999999996E-2</v>
      </c>
      <c r="F5" s="14">
        <f>'Tradeoff weights'!$D5*IF('Aerial Platform'!F13&lt;=MIN(Range!$A$2:$A$12),0,IF('Aerial Platform'!F13&gt;=MAX(Range!$A$2:$A$12),1,(1/Range!$B$16)*(1-EXP(Range!$B$14*('Aerial Platform'!F13-MIN(Range!$A$2:$A$12))^Range!$B$15))))</f>
        <v>8.9499999999999996E-2</v>
      </c>
      <c r="G5" s="14">
        <f>'Tradeoff weights'!$D5*IF('Aerial Platform'!G13&lt;=MIN(Range!$A$2:$A$12),0,IF('Aerial Platform'!G13&gt;=MAX(Range!$A$2:$A$12),1,(1/Range!$B$16)*(1-EXP(Range!$B$14*('Aerial Platform'!G13-MIN(Range!$A$2:$A$12))^Range!$B$15))))</f>
        <v>0</v>
      </c>
      <c r="H5" s="14">
        <f>'Tradeoff weights'!$D5*IF('Aerial Platform'!H13&lt;=MIN(Range!$A$2:$A$12),0,IF('Aerial Platform'!H13&gt;=MAX(Range!$A$2:$A$12),1,(1/Range!$B$16)*(1-EXP(Range!$B$14*('Aerial Platform'!H13-MIN(Range!$A$2:$A$12))^Range!$B$15))))</f>
        <v>8.3371850359482982E-2</v>
      </c>
      <c r="I5" s="14">
        <f>'Tradeoff weights'!$D5*IF('Aerial Platform'!I13&lt;=MIN(Range!$A$2:$A$12),0,IF('Aerial Platform'!I13&gt;=MAX(Range!$A$2:$A$12),1,(1/Range!$B$16)*(1-EXP(Range!$B$14*('Aerial Platform'!I13-MIN(Range!$A$2:$A$12))^Range!$B$15))))</f>
        <v>8.9499999999999996E-2</v>
      </c>
      <c r="J5" s="14">
        <f>'Tradeoff weights'!$D5*IF('Aerial Platform'!J13&lt;=MIN(Range!$A$2:$A$12),0,IF('Aerial Platform'!J13&gt;=MAX(Range!$A$2:$A$12),1,(1/Range!$B$16)*(1-EXP(Range!$B$14*('Aerial Platform'!J13-MIN(Range!$A$2:$A$12))^Range!$B$15))))</f>
        <v>0</v>
      </c>
      <c r="K5" s="14">
        <f>'Tradeoff weights'!$D5*IF('Aerial Platform'!K13&lt;=MIN(Range!$A$2:$A$12),0,IF('Aerial Platform'!K13&gt;=MAX(Range!$A$2:$A$12),1,(1/Range!$B$16)*(1-EXP(Range!$B$14*('Aerial Platform'!K13-MIN(Range!$A$2:$A$12))^Range!$B$15))))</f>
        <v>0</v>
      </c>
      <c r="L5" s="14">
        <f>'Tradeoff weights'!$D5*IF('Aerial Platform'!L13&lt;=MIN(Range!$A$2:$A$12),0,IF('Aerial Platform'!L13&gt;=MAX(Range!$A$2:$A$12),1,(1/Range!$B$16)*(1-EXP(Range!$B$14*('Aerial Platform'!L13-MIN(Range!$A$2:$A$12))^Range!$B$15))))</f>
        <v>0</v>
      </c>
      <c r="M5" s="14">
        <f>'Tradeoff weights'!$D5*IF('Aerial Platform'!M13&lt;=MIN(Range!$A$2:$A$12),0,IF('Aerial Platform'!M13&gt;=MAX(Range!$A$2:$A$12),1,(1/Range!$B$16)*(1-EXP(Range!$B$14*('Aerial Platform'!M13-MIN(Range!$A$2:$A$12))^Range!$B$15))))</f>
        <v>8.9499999999999996E-2</v>
      </c>
      <c r="N5" s="14">
        <f>'Tradeoff weights'!$D5*IF('Aerial Platform'!N13&lt;=MIN(Range!$A$2:$A$12),0,IF('Aerial Platform'!N13&gt;=MAX(Range!$A$2:$A$12),1,(1/Range!$B$16)*(1-EXP(Range!$B$14*('Aerial Platform'!N13-MIN(Range!$A$2:$A$12))^Range!$B$15))))</f>
        <v>0</v>
      </c>
      <c r="O5" s="14">
        <f>'Tradeoff weights'!$D5*IF('Aerial Platform'!O13&lt;=MIN(Range!$A$2:$A$12),0,IF('Aerial Platform'!O13&gt;=MAX(Range!$A$2:$A$12),1,(1/Range!$B$16)*(1-EXP(Range!$B$14*('Aerial Platform'!O13-MIN(Range!$A$2:$A$12))^Range!$B$15))))</f>
        <v>0</v>
      </c>
      <c r="P5" s="14">
        <f>'Tradeoff weights'!$D5*IF('Aerial Platform'!P13&lt;=MIN(Range!$A$2:$A$12),0,IF('Aerial Platform'!P13&gt;=MAX(Range!$A$2:$A$12),1,(1/Range!$B$16)*(1-EXP(Range!$B$14*('Aerial Platform'!P13-MIN(Range!$A$2:$A$12))^Range!$B$15))))</f>
        <v>8.9499999999999996E-2</v>
      </c>
      <c r="Q5" s="14">
        <f>'Tradeoff weights'!$D5*IF('Aerial Platform'!Q13&lt;=MIN(Range!$A$2:$A$12),0,IF('Aerial Platform'!Q13&gt;=MAX(Range!$A$2:$A$12),1,(1/Range!$B$16)*(1-EXP(Range!$B$14*('Aerial Platform'!Q13-MIN(Range!$A$2:$A$12))^Range!$B$15))))</f>
        <v>0</v>
      </c>
      <c r="R5" s="14">
        <f>'Tradeoff weights'!$D5*IF('Aerial Platform'!R13&lt;=MIN(Range!$A$2:$A$12),0,IF('Aerial Platform'!R13&gt;=MAX(Range!$A$2:$A$12),1,(1/Range!$B$16)*(1-EXP(Range!$B$14*('Aerial Platform'!R13-MIN(Range!$A$2:$A$12))^Range!$B$15))))</f>
        <v>0</v>
      </c>
      <c r="S5" s="14">
        <f>'Tradeoff weights'!$D5*IF('Aerial Platform'!S13&lt;=MIN(Range!$A$2:$A$12),0,IF('Aerial Platform'!S13&gt;=MAX(Range!$A$2:$A$12),1,(1/Range!$B$16)*(1-EXP(Range!$B$14*('Aerial Platform'!S13-MIN(Range!$A$2:$A$12))^Range!$B$15))))</f>
        <v>0</v>
      </c>
      <c r="T5" s="14">
        <f>'Tradeoff weights'!$D5*IF('Aerial Platform'!T13&lt;=MIN(Range!$A$2:$A$12),0,IF('Aerial Platform'!T13&gt;=MAX(Range!$A$2:$A$12),1,(1/Range!$B$16)*(1-EXP(Range!$B$14*('Aerial Platform'!T13-MIN(Range!$A$2:$A$12))^Range!$B$15))))</f>
        <v>0</v>
      </c>
      <c r="U5" s="14">
        <f>'Tradeoff weights'!$D5*IF('Aerial Platform'!U13&lt;=MIN(Range!$A$2:$A$12),0,IF('Aerial Platform'!U13&gt;=MAX(Range!$A$2:$A$12),1,(1/Range!$B$16)*(1-EXP(Range!$B$14*('Aerial Platform'!U13-MIN(Range!$A$2:$A$12))^Range!$B$15))))</f>
        <v>0</v>
      </c>
      <c r="V5" s="14">
        <f>'Tradeoff weights'!$D5*IF('Aerial Platform'!V13&lt;=MIN(Range!$A$2:$A$12),0,IF('Aerial Platform'!V13&gt;=MAX(Range!$A$2:$A$12),1,(1/Range!$B$16)*(1-EXP(Range!$B$14*('Aerial Platform'!V13-MIN(Range!$A$2:$A$12))^Range!$B$15))))</f>
        <v>0</v>
      </c>
      <c r="W5" s="14">
        <f>'Tradeoff weights'!$D5*IF('Aerial Platform'!W13&lt;=MIN(Range!$A$2:$A$12),0,IF('Aerial Platform'!W13&gt;=MAX(Range!$A$2:$A$12),1,(1/Range!$B$16)*(1-EXP(Range!$B$14*('Aerial Platform'!W13-MIN(Range!$A$2:$A$12))^Range!$B$15))))</f>
        <v>0</v>
      </c>
      <c r="X5" s="14">
        <f>'Tradeoff weights'!$D5*IF('Aerial Platform'!X13&lt;=MIN(Range!$A$2:$A$12),0,IF('Aerial Platform'!X13&gt;=MAX(Range!$A$2:$A$12),1,(1/Range!$B$16)*(1-EXP(Range!$B$14*('Aerial Platform'!X13-MIN(Range!$A$2:$A$12))^Range!$B$15))))</f>
        <v>0</v>
      </c>
      <c r="Y5" s="14">
        <f>'Tradeoff weights'!$D5*IF('Aerial Platform'!Y13&lt;=MIN(Range!$A$2:$A$12),0,IF('Aerial Platform'!Y13&gt;=MAX(Range!$A$2:$A$12),1,(1/Range!$B$16)*(1-EXP(Range!$B$14*('Aerial Platform'!Y13-MIN(Range!$A$2:$A$12))^Range!$B$15))))</f>
        <v>0</v>
      </c>
    </row>
    <row r="6" spans="1:25" x14ac:dyDescent="0.25">
      <c r="A6" t="str">
        <f>'Tradeoff weights'!A6</f>
        <v>Cruise speed</v>
      </c>
      <c r="B6" s="14">
        <f>'Tradeoff weights'!$D6*IF('Aerial Platform'!B14&lt;=MIN('Cruise speed'!$A$2:$A$12),0,IF('Aerial Platform'!B14&gt;=MAX('Cruise speed'!$A$2:$A$12),1,(1/'Cruise speed'!$B$16)*(1-EXP('Cruise speed'!$B$14*('Aerial Platform'!B14-MIN('Cruise speed'!$A$2:$A$12))^'Cruise speed'!$B$15))))</f>
        <v>3.318002986490258E-2</v>
      </c>
      <c r="C6" s="14">
        <f>'Tradeoff weights'!$D6*IF('Aerial Platform'!C14&lt;=MIN('Cruise speed'!$A$2:$A$12),0,IF('Aerial Platform'!C14&gt;=MAX('Cruise speed'!$A$2:$A$12),1,(1/'Cruise speed'!$B$16)*(1-EXP('Cruise speed'!$B$14*('Aerial Platform'!C14-MIN('Cruise speed'!$A$2:$A$12))^'Cruise speed'!$B$15))))</f>
        <v>5.5458036880124559E-2</v>
      </c>
      <c r="D6" s="14">
        <f>'Tradeoff weights'!$D6*IF('Aerial Platform'!D14&lt;=MIN('Cruise speed'!$A$2:$A$12),0,IF('Aerial Platform'!D14&gt;=MAX('Cruise speed'!$A$2:$A$12),1,(1/'Cruise speed'!$B$16)*(1-EXP('Cruise speed'!$B$14*('Aerial Platform'!D14-MIN('Cruise speed'!$A$2:$A$12))^'Cruise speed'!$B$15))))</f>
        <v>0.11849999999999999</v>
      </c>
      <c r="E6" s="14">
        <f>'Tradeoff weights'!$D6*IF('Aerial Platform'!E14&lt;=MIN('Cruise speed'!$A$2:$A$12),0,IF('Aerial Platform'!E14&gt;=MAX('Cruise speed'!$A$2:$A$12),1,(1/'Cruise speed'!$B$16)*(1-EXP('Cruise speed'!$B$14*('Aerial Platform'!E14-MIN('Cruise speed'!$A$2:$A$12))^'Cruise speed'!$B$15))))</f>
        <v>0.11849999999999999</v>
      </c>
      <c r="F6" s="14">
        <f>'Tradeoff weights'!$D6*IF('Aerial Platform'!F14&lt;=MIN('Cruise speed'!$A$2:$A$12),0,IF('Aerial Platform'!F14&gt;=MAX('Cruise speed'!$A$2:$A$12),1,(1/'Cruise speed'!$B$16)*(1-EXP('Cruise speed'!$B$14*('Aerial Platform'!F14-MIN('Cruise speed'!$A$2:$A$12))^'Cruise speed'!$B$15))))</f>
        <v>0.11849999999999999</v>
      </c>
      <c r="G6" s="14">
        <f>'Tradeoff weights'!$D6*IF('Aerial Platform'!G14&lt;=MIN('Cruise speed'!$A$2:$A$12),0,IF('Aerial Platform'!G14&gt;=MAX('Cruise speed'!$A$2:$A$12),1,(1/'Cruise speed'!$B$16)*(1-EXP('Cruise speed'!$B$14*('Aerial Platform'!G14-MIN('Cruise speed'!$A$2:$A$12))^'Cruise speed'!$B$15))))</f>
        <v>2.8440027020856688E-2</v>
      </c>
      <c r="H6" s="14">
        <f>'Tradeoff weights'!$D6*IF('Aerial Platform'!H14&lt;=MIN('Cruise speed'!$A$2:$A$12),0,IF('Aerial Platform'!H14&gt;=MAX('Cruise speed'!$A$2:$A$12),1,(1/'Cruise speed'!$B$16)*(1-EXP('Cruise speed'!$B$14*('Aerial Platform'!H14-MIN('Cruise speed'!$A$2:$A$12))^'Cruise speed'!$B$15))))</f>
        <v>3.0810028500766733E-2</v>
      </c>
      <c r="I6" s="14">
        <f>'Tradeoff weights'!$D6*IF('Aerial Platform'!I14&lt;=MIN('Cruise speed'!$A$2:$A$12),0,IF('Aerial Platform'!I14&gt;=MAX('Cruise speed'!$A$2:$A$12),1,(1/'Cruise speed'!$B$16)*(1-EXP('Cruise speed'!$B$14*('Aerial Platform'!I14-MIN('Cruise speed'!$A$2:$A$12))^'Cruise speed'!$B$15))))</f>
        <v>9.006002701938319E-2</v>
      </c>
      <c r="J6" s="14">
        <f>'Tradeoff weights'!$D6*IF('Aerial Platform'!J14&lt;=MIN('Cruise speed'!$A$2:$A$12),0,IF('Aerial Platform'!J14&gt;=MAX('Cruise speed'!$A$2:$A$12),1,(1/'Cruise speed'!$B$16)*(1-EXP('Cruise speed'!$B$14*('Aerial Platform'!J14-MIN('Cruise speed'!$A$2:$A$12))^'Cruise speed'!$B$15))))</f>
        <v>0</v>
      </c>
      <c r="K6" s="14">
        <f>'Tradeoff weights'!$D6*IF('Aerial Platform'!K14&lt;=MIN('Cruise speed'!$A$2:$A$12),0,IF('Aerial Platform'!K14&gt;=MAX('Cruise speed'!$A$2:$A$12),1,(1/'Cruise speed'!$B$16)*(1-EXP('Cruise speed'!$B$14*('Aerial Platform'!K14-MIN('Cruise speed'!$A$2:$A$12))^'Cruise speed'!$B$15))))</f>
        <v>0</v>
      </c>
      <c r="L6" s="14">
        <f>'Tradeoff weights'!$D6*IF('Aerial Platform'!L14&lt;=MIN('Cruise speed'!$A$2:$A$12),0,IF('Aerial Platform'!L14&gt;=MAX('Cruise speed'!$A$2:$A$12),1,(1/'Cruise speed'!$B$16)*(1-EXP('Cruise speed'!$B$14*('Aerial Platform'!L14-MIN('Cruise speed'!$A$2:$A$12))^'Cruise speed'!$B$15))))</f>
        <v>0</v>
      </c>
      <c r="M6" s="14">
        <f>'Tradeoff weights'!$D6*IF('Aerial Platform'!M14&lt;=MIN('Cruise speed'!$A$2:$A$12),0,IF('Aerial Platform'!M14&gt;=MAX('Cruise speed'!$A$2:$A$12),1,(1/'Cruise speed'!$B$16)*(1-EXP('Cruise speed'!$B$14*('Aerial Platform'!M14-MIN('Cruise speed'!$A$2:$A$12))^'Cruise speed'!$B$15))))</f>
        <v>5.4510036795462041E-2</v>
      </c>
      <c r="N6" s="14">
        <f>'Tradeoff weights'!$D6*IF('Aerial Platform'!N14&lt;=MIN('Cruise speed'!$A$2:$A$12),0,IF('Aerial Platform'!N14&gt;=MAX('Cruise speed'!$A$2:$A$12),1,(1/'Cruise speed'!$B$16)*(1-EXP('Cruise speed'!$B$14*('Aerial Platform'!N14-MIN('Cruise speed'!$A$2:$A$12))^'Cruise speed'!$B$15))))</f>
        <v>1.4220015641726149E-2</v>
      </c>
      <c r="O6" s="14">
        <f>'Tradeoff weights'!$D6*IF('Aerial Platform'!O14&lt;=MIN('Cruise speed'!$A$2:$A$12),0,IF('Aerial Platform'!O14&gt;=MAX('Cruise speed'!$A$2:$A$12),1,(1/'Cruise speed'!$B$16)*(1-EXP('Cruise speed'!$B$14*('Aerial Platform'!O14-MIN('Cruise speed'!$A$2:$A$12))^'Cruise speed'!$B$15))))</f>
        <v>1.8960019906637243E-2</v>
      </c>
      <c r="P6" s="14">
        <f>'Tradeoff weights'!$D6*IF('Aerial Platform'!P14&lt;=MIN('Cruise speed'!$A$2:$A$12),0,IF('Aerial Platform'!P14&gt;=MAX('Cruise speed'!$A$2:$A$12),1,(1/'Cruise speed'!$B$16)*(1-EXP('Cruise speed'!$B$14*('Aerial Platform'!P14-MIN('Cruise speed'!$A$2:$A$12))^'Cruise speed'!$B$15))))</f>
        <v>0.11849999999999999</v>
      </c>
      <c r="Q6" s="14">
        <f>'Tradeoff weights'!$D6*IF('Aerial Platform'!Q14&lt;=MIN('Cruise speed'!$A$2:$A$12),0,IF('Aerial Platform'!Q14&gt;=MAX('Cruise speed'!$A$2:$A$12),1,(1/'Cruise speed'!$B$16)*(1-EXP('Cruise speed'!$B$14*('Aerial Platform'!Q14-MIN('Cruise speed'!$A$2:$A$12))^'Cruise speed'!$B$15))))</f>
        <v>0</v>
      </c>
      <c r="R6" s="14">
        <f>'Tradeoff weights'!$D6*IF('Aerial Platform'!R14&lt;=MIN('Cruise speed'!$A$2:$A$12),0,IF('Aerial Platform'!R14&gt;=MAX('Cruise speed'!$A$2:$A$12),1,(1/'Cruise speed'!$B$16)*(1-EXP('Cruise speed'!$B$14*('Aerial Platform'!R14-MIN('Cruise speed'!$A$2:$A$12))^'Cruise speed'!$B$15))))</f>
        <v>0</v>
      </c>
      <c r="S6" s="14">
        <f>'Tradeoff weights'!$D6*IF('Aerial Platform'!S14&lt;=MIN('Cruise speed'!$A$2:$A$12),0,IF('Aerial Platform'!S14&gt;=MAX('Cruise speed'!$A$2:$A$12),1,(1/'Cruise speed'!$B$16)*(1-EXP('Cruise speed'!$B$14*('Aerial Platform'!S14-MIN('Cruise speed'!$A$2:$A$12))^'Cruise speed'!$B$15))))</f>
        <v>1.4220015641726149E-2</v>
      </c>
      <c r="T6" s="14">
        <f>'Tradeoff weights'!$D6*IF('Aerial Platform'!T14&lt;=MIN('Cruise speed'!$A$2:$A$12),0,IF('Aerial Platform'!T14&gt;=MAX('Cruise speed'!$A$2:$A$12),1,(1/'Cruise speed'!$B$16)*(1-EXP('Cruise speed'!$B$14*('Aerial Platform'!T14-MIN('Cruise speed'!$A$2:$A$12))^'Cruise speed'!$B$15))))</f>
        <v>0</v>
      </c>
      <c r="U6" s="14">
        <f>'Tradeoff weights'!$D6*IF('Aerial Platform'!U14&lt;=MIN('Cruise speed'!$A$2:$A$12),0,IF('Aerial Platform'!U14&gt;=MAX('Cruise speed'!$A$2:$A$12),1,(1/'Cruise speed'!$B$16)*(1-EXP('Cruise speed'!$B$14*('Aerial Platform'!U14-MIN('Cruise speed'!$A$2:$A$12))^'Cruise speed'!$B$15))))</f>
        <v>0</v>
      </c>
      <c r="V6" s="14">
        <f>'Tradeoff weights'!$D6*IF('Aerial Platform'!V14&lt;=MIN('Cruise speed'!$A$2:$A$12),0,IF('Aerial Platform'!V14&gt;=MAX('Cruise speed'!$A$2:$A$12),1,(1/'Cruise speed'!$B$16)*(1-EXP('Cruise speed'!$B$14*('Aerial Platform'!V14-MIN('Cruise speed'!$A$2:$A$12))^'Cruise speed'!$B$15))))</f>
        <v>0</v>
      </c>
      <c r="W6" s="14">
        <f>'Tradeoff weights'!$D6*IF('Aerial Platform'!W14&lt;=MIN('Cruise speed'!$A$2:$A$12),0,IF('Aerial Platform'!W14&gt;=MAX('Cruise speed'!$A$2:$A$12),1,(1/'Cruise speed'!$B$16)*(1-EXP('Cruise speed'!$B$14*('Aerial Platform'!W14-MIN('Cruise speed'!$A$2:$A$12))^'Cruise speed'!$B$15))))</f>
        <v>0</v>
      </c>
      <c r="X6" s="14">
        <f>'Tradeoff weights'!$D6*IF('Aerial Platform'!X14&lt;=MIN('Cruise speed'!$A$2:$A$12),0,IF('Aerial Platform'!X14&gt;=MAX('Cruise speed'!$A$2:$A$12),1,(1/'Cruise speed'!$B$16)*(1-EXP('Cruise speed'!$B$14*('Aerial Platform'!X14-MIN('Cruise speed'!$A$2:$A$12))^'Cruise speed'!$B$15))))</f>
        <v>0</v>
      </c>
      <c r="Y6" s="14">
        <f>'Tradeoff weights'!$D6*IF('Aerial Platform'!Y14&lt;=MIN('Cruise speed'!$A$2:$A$12),0,IF('Aerial Platform'!Y14&gt;=MAX('Cruise speed'!$A$2:$A$12),1,(1/'Cruise speed'!$B$16)*(1-EXP('Cruise speed'!$B$14*('Aerial Platform'!Y14-MIN('Cruise speed'!$A$2:$A$12))^'Cruise speed'!$B$15))))</f>
        <v>0.11849999999999999</v>
      </c>
    </row>
    <row r="7" spans="1:25" x14ac:dyDescent="0.25">
      <c r="A7" t="str">
        <f>'Tradeoff weights'!A7</f>
        <v>Observability</v>
      </c>
      <c r="B7" s="14">
        <f>'Tradeoff weights'!$D7*IF('Aerial Platform'!B34&lt;=MIN(Observability!$A$2:$A$12),1,IF('Aerial Platform'!B34&gt;=MAX(Observability!$A$2:$A$12),0,(1/Observability!$B$16)*(1-EXP(Observability!$B$14*(MAX(Observability!$A$2:$A$12)-'Aerial Platform'!B34)^Observability!$B$15))))</f>
        <v>0</v>
      </c>
      <c r="C7" s="14">
        <f>'Tradeoff weights'!$D7*IF('Aerial Platform'!C34&lt;=MIN(Observability!$A$2:$A$12),1,IF('Aerial Platform'!C34&gt;=MAX(Observability!$A$2:$A$12),0,(1/Observability!$B$16)*(1-EXP(Observability!$B$14*(MAX(Observability!$A$2:$A$12)-'Aerial Platform'!C34)^Observability!$B$15))))</f>
        <v>0</v>
      </c>
      <c r="D7" s="14">
        <f>'Tradeoff weights'!$D7*IF('Aerial Platform'!D34&lt;=MIN(Observability!$A$2:$A$12),1,IF('Aerial Platform'!D34&gt;=MAX(Observability!$A$2:$A$12),0,(1/Observability!$B$16)*(1-EXP(Observability!$B$14*(MAX(Observability!$A$2:$A$12)-'Aerial Platform'!D34)^Observability!$B$15))))</f>
        <v>0</v>
      </c>
      <c r="E7" s="14">
        <f>'Tradeoff weights'!$D7*IF('Aerial Platform'!E34&lt;=MIN(Observability!$A$2:$A$12),1,IF('Aerial Platform'!E34&gt;=MAX(Observability!$A$2:$A$12),0,(1/Observability!$B$16)*(1-EXP(Observability!$B$14*(MAX(Observability!$A$2:$A$12)-'Aerial Platform'!E34)^Observability!$B$15))))</f>
        <v>0</v>
      </c>
      <c r="F7" s="14">
        <f>'Tradeoff weights'!$D7*IF('Aerial Platform'!F34&lt;=MIN(Observability!$A$2:$A$12),1,IF('Aerial Platform'!F34&gt;=MAX(Observability!$A$2:$A$12),0,(1/Observability!$B$16)*(1-EXP(Observability!$B$14*(MAX(Observability!$A$2:$A$12)-'Aerial Platform'!F34)^Observability!$B$15))))</f>
        <v>0</v>
      </c>
      <c r="G7" s="14">
        <f>'Tradeoff weights'!$D7*IF('Aerial Platform'!G34&lt;=MIN(Observability!$A$2:$A$12),1,IF('Aerial Platform'!G34&gt;=MAX(Observability!$A$2:$A$12),0,(1/Observability!$B$16)*(1-EXP(Observability!$B$14*(MAX(Observability!$A$2:$A$12)-'Aerial Platform'!G34)^Observability!$B$15))))</f>
        <v>0</v>
      </c>
      <c r="H7" s="14">
        <f>'Tradeoff weights'!$D7*IF('Aerial Platform'!H34&lt;=MIN(Observability!$A$2:$A$12),1,IF('Aerial Platform'!H34&gt;=MAX(Observability!$A$2:$A$12),0,(1/Observability!$B$16)*(1-EXP(Observability!$B$14*(MAX(Observability!$A$2:$A$12)-'Aerial Platform'!H34)^Observability!$B$15))))</f>
        <v>0</v>
      </c>
      <c r="I7" s="14">
        <f>'Tradeoff weights'!$D7*IF('Aerial Platform'!I34&lt;=MIN(Observability!$A$2:$A$12),1,IF('Aerial Platform'!I34&gt;=MAX(Observability!$A$2:$A$12),0,(1/Observability!$B$16)*(1-EXP(Observability!$B$14*(MAX(Observability!$A$2:$A$12)-'Aerial Platform'!I34)^Observability!$B$15))))</f>
        <v>0</v>
      </c>
      <c r="J7" s="14">
        <f>'Tradeoff weights'!$D7*IF('Aerial Platform'!J34&lt;=MIN(Observability!$A$2:$A$12),1,IF('Aerial Platform'!J34&gt;=MAX(Observability!$A$2:$A$12),0,(1/Observability!$B$16)*(1-EXP(Observability!$B$14*(MAX(Observability!$A$2:$A$12)-'Aerial Platform'!J34)^Observability!$B$15))))</f>
        <v>0</v>
      </c>
      <c r="K7" s="14">
        <f>'Tradeoff weights'!$D7*IF('Aerial Platform'!K34&lt;=MIN(Observability!$A$2:$A$12),1,IF('Aerial Platform'!K34&gt;=MAX(Observability!$A$2:$A$12),0,(1/Observability!$B$16)*(1-EXP(Observability!$B$14*(MAX(Observability!$A$2:$A$12)-'Aerial Platform'!K34)^Observability!$B$15))))</f>
        <v>0</v>
      </c>
      <c r="L7" s="14">
        <f>'Tradeoff weights'!$D7*IF('Aerial Platform'!L34&lt;=MIN(Observability!$A$2:$A$12),1,IF('Aerial Platform'!L34&gt;=MAX(Observability!$A$2:$A$12),0,(1/Observability!$B$16)*(1-EXP(Observability!$B$14*(MAX(Observability!$A$2:$A$12)-'Aerial Platform'!L34)^Observability!$B$15))))</f>
        <v>0</v>
      </c>
      <c r="M7" s="14">
        <f>'Tradeoff weights'!$D7*IF('Aerial Platform'!M34&lt;=MIN(Observability!$A$2:$A$12),1,IF('Aerial Platform'!M34&gt;=MAX(Observability!$A$2:$A$12),0,(1/Observability!$B$16)*(1-EXP(Observability!$B$14*(MAX(Observability!$A$2:$A$12)-'Aerial Platform'!M34)^Observability!$B$15))))</f>
        <v>0</v>
      </c>
      <c r="N7" s="14">
        <f>'Tradeoff weights'!$D7*IF('Aerial Platform'!N34&lt;=MIN(Observability!$A$2:$A$12),1,IF('Aerial Platform'!N34&gt;=MAX(Observability!$A$2:$A$12),0,(1/Observability!$B$16)*(1-EXP(Observability!$B$14*(MAX(Observability!$A$2:$A$12)-'Aerial Platform'!N34)^Observability!$B$15))))</f>
        <v>0</v>
      </c>
      <c r="O7" s="14">
        <f>'Tradeoff weights'!$D7*IF('Aerial Platform'!O34&lt;=MIN(Observability!$A$2:$A$12),1,IF('Aerial Platform'!O34&gt;=MAX(Observability!$A$2:$A$12),0,(1/Observability!$B$16)*(1-EXP(Observability!$B$14*(MAX(Observability!$A$2:$A$12)-'Aerial Platform'!O34)^Observability!$B$15))))</f>
        <v>0</v>
      </c>
      <c r="P7" s="14">
        <f>'Tradeoff weights'!$D7*IF('Aerial Platform'!P34&lt;=MIN(Observability!$A$2:$A$12),1,IF('Aerial Platform'!P34&gt;=MAX(Observability!$A$2:$A$12),0,(1/Observability!$B$16)*(1-EXP(Observability!$B$14*(MAX(Observability!$A$2:$A$12)-'Aerial Platform'!P34)^Observability!$B$15))))</f>
        <v>0</v>
      </c>
      <c r="Q7" s="14">
        <f>'Tradeoff weights'!$D7*IF('Aerial Platform'!Q34&lt;=MIN(Observability!$A$2:$A$12),1,IF('Aerial Platform'!Q34&gt;=MAX(Observability!$A$2:$A$12),0,(1/Observability!$B$16)*(1-EXP(Observability!$B$14*(MAX(Observability!$A$2:$A$12)-'Aerial Platform'!Q34)^Observability!$B$15))))</f>
        <v>0</v>
      </c>
      <c r="R7" s="14">
        <f>'Tradeoff weights'!$D7*IF('Aerial Platform'!R34&lt;=MIN(Observability!$A$2:$A$12),1,IF('Aerial Platform'!R34&gt;=MAX(Observability!$A$2:$A$12),0,(1/Observability!$B$16)*(1-EXP(Observability!$B$14*(MAX(Observability!$A$2:$A$12)-'Aerial Platform'!R34)^Observability!$B$15))))</f>
        <v>0</v>
      </c>
      <c r="S7" s="14">
        <f>'Tradeoff weights'!$D7*IF('Aerial Platform'!S34&lt;=MIN(Observability!$A$2:$A$12),1,IF('Aerial Platform'!S34&gt;=MAX(Observability!$A$2:$A$12),0,(1/Observability!$B$16)*(1-EXP(Observability!$B$14*(MAX(Observability!$A$2:$A$12)-'Aerial Platform'!S34)^Observability!$B$15))))</f>
        <v>0</v>
      </c>
      <c r="T7" s="14">
        <f>'Tradeoff weights'!$D7*IF('Aerial Platform'!T34&lt;=MIN(Observability!$A$2:$A$12),1,IF('Aerial Platform'!T34&gt;=MAX(Observability!$A$2:$A$12),0,(1/Observability!$B$16)*(1-EXP(Observability!$B$14*(MAX(Observability!$A$2:$A$12)-'Aerial Platform'!T34)^Observability!$B$15))))</f>
        <v>0</v>
      </c>
      <c r="U7" s="14">
        <f>'Tradeoff weights'!$D7*IF('Aerial Platform'!U34&lt;=MIN(Observability!$A$2:$A$12),1,IF('Aerial Platform'!U34&gt;=MAX(Observability!$A$2:$A$12),0,(1/Observability!$B$16)*(1-EXP(Observability!$B$14*(MAX(Observability!$A$2:$A$12)-'Aerial Platform'!U34)^Observability!$B$15))))</f>
        <v>0</v>
      </c>
      <c r="V7" s="14">
        <f>'Tradeoff weights'!$D7*IF('Aerial Platform'!V34&lt;=MIN(Observability!$A$2:$A$12),1,IF('Aerial Platform'!V34&gt;=MAX(Observability!$A$2:$A$12),0,(1/Observability!$B$16)*(1-EXP(Observability!$B$14*(MAX(Observability!$A$2:$A$12)-'Aerial Platform'!V34)^Observability!$B$15))))</f>
        <v>0</v>
      </c>
      <c r="W7" s="14">
        <f>'Tradeoff weights'!$D7*IF('Aerial Platform'!W34&lt;=MIN(Observability!$A$2:$A$12),1,IF('Aerial Platform'!W34&gt;=MAX(Observability!$A$2:$A$12),0,(1/Observability!$B$16)*(1-EXP(Observability!$B$14*(MAX(Observability!$A$2:$A$12)-'Aerial Platform'!W34)^Observability!$B$15))))</f>
        <v>0</v>
      </c>
      <c r="X7" s="14">
        <f>'Tradeoff weights'!$D7*IF('Aerial Platform'!X34&lt;=MIN(Observability!$A$2:$A$12),1,IF('Aerial Platform'!X34&gt;=MAX(Observability!$A$2:$A$12),0,(1/Observability!$B$16)*(1-EXP(Observability!$B$14*(MAX(Observability!$A$2:$A$12)-'Aerial Platform'!X34)^Observability!$B$15))))</f>
        <v>0</v>
      </c>
      <c r="Y7" s="14">
        <f>'Tradeoff weights'!$D7*IF('Aerial Platform'!Y34&lt;=MIN(Observability!$A$2:$A$12),1,IF('Aerial Platform'!Y34&gt;=MAX(Observability!$A$2:$A$12),0,(1/Observability!$B$16)*(1-EXP(Observability!$B$14*('Aerial Platform'!Y34-MAX(Observability!$A$2:$A$12))^Observability!$B$15))))</f>
        <v>0</v>
      </c>
    </row>
    <row r="8" spans="1:25" x14ac:dyDescent="0.25">
      <c r="A8" t="str">
        <f>'Tradeoff weights'!A8</f>
        <v>Stealth</v>
      </c>
      <c r="B8" s="14">
        <f>'Tradeoff weights'!$D8*IF(EXACT('Aerial Platform'!B24,Stealth!$A$2),Stealth!$B$2,Stealth!$B$3)</f>
        <v>0</v>
      </c>
      <c r="C8" s="14">
        <f>'Tradeoff weights'!$D8*IF(EXACT('Aerial Platform'!C24,Stealth!$A$2),Stealth!$B$2,Stealth!$B$3)</f>
        <v>0</v>
      </c>
      <c r="D8" s="14">
        <f>'Tradeoff weights'!$D8*IF(EXACT('Aerial Platform'!D24,Stealth!$A$2),Stealth!$B$2,Stealth!$B$3)</f>
        <v>0</v>
      </c>
      <c r="E8" s="14">
        <f>'Tradeoff weights'!$D8*IF(EXACT('Aerial Platform'!E24,Stealth!$A$2),Stealth!$B$2,Stealth!$B$3)</f>
        <v>0</v>
      </c>
      <c r="F8" s="14">
        <f>'Tradeoff weights'!$D8*IF(EXACT('Aerial Platform'!F24,Stealth!$A$2),Stealth!$B$2,Stealth!$B$3)</f>
        <v>0</v>
      </c>
      <c r="G8" s="14">
        <f>'Tradeoff weights'!$D8*IF(EXACT('Aerial Platform'!G24,Stealth!$A$2),Stealth!$B$2,Stealth!$B$3)</f>
        <v>0</v>
      </c>
      <c r="H8" s="14">
        <f>'Tradeoff weights'!$D8*IF(EXACT('Aerial Platform'!H24,Stealth!$A$2),Stealth!$B$2,Stealth!$B$3)</f>
        <v>0</v>
      </c>
      <c r="I8" s="14">
        <f>'Tradeoff weights'!$D8*IF(EXACT('Aerial Platform'!I24,Stealth!$A$2),Stealth!$B$2,Stealth!$B$3)</f>
        <v>0</v>
      </c>
      <c r="J8" s="14">
        <f>'Tradeoff weights'!$D8*IF(EXACT('Aerial Platform'!J24,Stealth!$A$2),Stealth!$B$2,Stealth!$B$3)</f>
        <v>0</v>
      </c>
      <c r="K8" s="14">
        <f>'Tradeoff weights'!$D8*IF(EXACT('Aerial Platform'!K24,Stealth!$A$2),Stealth!$B$2,Stealth!$B$3)</f>
        <v>0</v>
      </c>
      <c r="L8" s="14">
        <f>'Tradeoff weights'!$D8*IF(EXACT('Aerial Platform'!L24,Stealth!$A$2),Stealth!$B$2,Stealth!$B$3)</f>
        <v>0</v>
      </c>
      <c r="M8" s="14">
        <f>'Tradeoff weights'!$D8*IF(EXACT('Aerial Platform'!M24,Stealth!$A$2),Stealth!$B$2,Stealth!$B$3)</f>
        <v>0</v>
      </c>
      <c r="N8" s="14">
        <f>'Tradeoff weights'!$D8*IF(EXACT('Aerial Platform'!N24,Stealth!$A$2),Stealth!$B$2,Stealth!$B$3)</f>
        <v>0</v>
      </c>
      <c r="O8" s="14">
        <f>'Tradeoff weights'!$D8*IF(EXACT('Aerial Platform'!O24,Stealth!$A$2),Stealth!$B$2,Stealth!$B$3)</f>
        <v>0</v>
      </c>
      <c r="P8" s="14">
        <f>'Tradeoff weights'!$D8*IF(EXACT('Aerial Platform'!P24,Stealth!$A$2),Stealth!$B$2,Stealth!$B$3)</f>
        <v>0</v>
      </c>
      <c r="Q8" s="14">
        <f>'Tradeoff weights'!$D8*IF(EXACT('Aerial Platform'!Q24,Stealth!$A$2),Stealth!$B$2,Stealth!$B$3)</f>
        <v>0</v>
      </c>
      <c r="R8" s="14">
        <f>'Tradeoff weights'!$D8*IF(EXACT('Aerial Platform'!R24,Stealth!$A$2),Stealth!$B$2,Stealth!$B$3)</f>
        <v>0</v>
      </c>
      <c r="S8" s="14">
        <f>'Tradeoff weights'!$D8*IF(EXACT('Aerial Platform'!S24,Stealth!$A$2),Stealth!$B$2,Stealth!$B$3)</f>
        <v>0</v>
      </c>
      <c r="T8" s="14">
        <f>'Tradeoff weights'!$D8*IF(EXACT('Aerial Platform'!T24,Stealth!$A$2),Stealth!$B$2,Stealth!$B$3)</f>
        <v>0</v>
      </c>
      <c r="U8" s="14">
        <f>'Tradeoff weights'!$D8*IF(EXACT('Aerial Platform'!U24,Stealth!$A$2),Stealth!$B$2,Stealth!$B$3)</f>
        <v>0</v>
      </c>
      <c r="V8" s="14">
        <f>'Tradeoff weights'!$D8*IF(EXACT('Aerial Platform'!V24,Stealth!$A$2),Stealth!$B$2,Stealth!$B$3)</f>
        <v>0</v>
      </c>
      <c r="W8" s="14">
        <f>'Tradeoff weights'!$D8*IF(EXACT('Aerial Platform'!W24,Stealth!$A$2),Stealth!$B$2,Stealth!$B$3)</f>
        <v>0</v>
      </c>
      <c r="X8" s="14">
        <f>'Tradeoff weights'!$D8*IF(EXACT('Aerial Platform'!X24,Stealth!$A$2),Stealth!$B$2,Stealth!$B$3)</f>
        <v>0</v>
      </c>
      <c r="Y8" s="14">
        <f>'Tradeoff weights'!$D8*IF(EXACT('Aerial Platform'!Y24,Stealth!$A$2),Stealth!$B$2,Stealth!$B$3)</f>
        <v>0</v>
      </c>
    </row>
    <row r="9" spans="1:25" x14ac:dyDescent="0.25">
      <c r="A9" t="str">
        <f>'Tradeoff weights'!A9</f>
        <v>Technology maturity level</v>
      </c>
      <c r="B9" s="14">
        <f>'Tradeoff weights'!$D9*IF('Aerial Platform'!B26&lt;=MIN('Technology maturity'!$A$2:$A$12),0,IF('Aerial Platform'!B26&gt;=MAX('Technology maturity'!$A$2:$A$12),1,(1/'Technology maturity'!$B$16)*(1-EXP('Technology maturity'!$B$14*('Aerial Platform'!B26-MIN('Technology maturity'!$A$2:$A$12))^'Technology maturity'!$B$15))))</f>
        <v>0.2</v>
      </c>
      <c r="C9" s="14">
        <f>'Tradeoff weights'!$D9*IF('Aerial Platform'!C26&lt;=MIN('Technology maturity'!$A$2:$A$12),0,IF('Aerial Platform'!C26&gt;=MAX('Technology maturity'!$A$2:$A$12),1,(1/'Technology maturity'!$B$16)*(1-EXP('Technology maturity'!$B$14*('Aerial Platform'!C26-MIN('Technology maturity'!$A$2:$A$12))^'Technology maturity'!$B$15))))</f>
        <v>0.1000000024424908</v>
      </c>
      <c r="D9" s="14">
        <f>'Tradeoff weights'!$D9*IF('Aerial Platform'!D26&lt;=MIN('Technology maturity'!$A$2:$A$12),0,IF('Aerial Platform'!D26&gt;=MAX('Technology maturity'!$A$2:$A$12),1,(1/'Technology maturity'!$B$16)*(1-EXP('Technology maturity'!$B$14*('Aerial Platform'!D26-MIN('Technology maturity'!$A$2:$A$12))^'Technology maturity'!$B$15))))</f>
        <v>0.2</v>
      </c>
      <c r="E9" s="14">
        <f>'Tradeoff weights'!$D9*IF('Aerial Platform'!E26&lt;=MIN('Technology maturity'!$A$2:$A$12),0,IF('Aerial Platform'!E26&gt;=MAX('Technology maturity'!$A$2:$A$12),1,(1/'Technology maturity'!$B$16)*(1-EXP('Technology maturity'!$B$14*('Aerial Platform'!E26-MIN('Technology maturity'!$A$2:$A$12))^'Technology maturity'!$B$15))))</f>
        <v>0.2</v>
      </c>
      <c r="F9" s="14">
        <f>'Tradeoff weights'!$D9*IF('Aerial Platform'!F26&lt;=MIN('Technology maturity'!$A$2:$A$12),0,IF('Aerial Platform'!F26&gt;=MAX('Technology maturity'!$A$2:$A$12),1,(1/'Technology maturity'!$B$16)*(1-EXP('Technology maturity'!$B$14*('Aerial Platform'!F26-MIN('Technology maturity'!$A$2:$A$12))^'Technology maturity'!$B$15))))</f>
        <v>4.0000001554312319E-2</v>
      </c>
      <c r="G9" s="14">
        <f>'Tradeoff weights'!$D9*IF('Aerial Platform'!G26&lt;=MIN('Technology maturity'!$A$2:$A$12),0,IF('Aerial Platform'!G26&gt;=MAX('Technology maturity'!$A$2:$A$12),1,(1/'Technology maturity'!$B$16)*(1-EXP('Technology maturity'!$B$14*('Aerial Platform'!G26-MIN('Technology maturity'!$A$2:$A$12))^'Technology maturity'!$B$15))))</f>
        <v>0.2</v>
      </c>
      <c r="H9" s="14">
        <f>'Tradeoff weights'!$D9*IF('Aerial Platform'!H26&lt;=MIN('Technology maturity'!$A$2:$A$12),0,IF('Aerial Platform'!H26&gt;=MAX('Technology maturity'!$A$2:$A$12),1,(1/'Technology maturity'!$B$16)*(1-EXP('Technology maturity'!$B$14*('Aerial Platform'!H26-MIN('Technology maturity'!$A$2:$A$12))^'Technology maturity'!$B$15))))</f>
        <v>0.16000000177635695</v>
      </c>
      <c r="I9" s="14">
        <f>'Tradeoff weights'!$D9*IF('Aerial Platform'!I26&lt;=MIN('Technology maturity'!$A$2:$A$12),0,IF('Aerial Platform'!I26&gt;=MAX('Technology maturity'!$A$2:$A$12),1,(1/'Technology maturity'!$B$16)*(1-EXP('Technology maturity'!$B$14*('Aerial Platform'!I26-MIN('Technology maturity'!$A$2:$A$12))^'Technology maturity'!$B$15))))</f>
        <v>0.16000000177635695</v>
      </c>
      <c r="J9" s="14">
        <f>'Tradeoff weights'!$D9*IF('Aerial Platform'!J26&lt;=MIN('Technology maturity'!$A$2:$A$12),0,IF('Aerial Platform'!J26&gt;=MAX('Technology maturity'!$A$2:$A$12),1,(1/'Technology maturity'!$B$16)*(1-EXP('Technology maturity'!$B$14*('Aerial Platform'!J26-MIN('Technology maturity'!$A$2:$A$12))^'Technology maturity'!$B$15))))</f>
        <v>0.2</v>
      </c>
      <c r="K9" s="14">
        <f>'Tradeoff weights'!$D9*IF('Aerial Platform'!K26&lt;=MIN('Technology maturity'!$A$2:$A$12),0,IF('Aerial Platform'!K26&gt;=MAX('Technology maturity'!$A$2:$A$12),1,(1/'Technology maturity'!$B$16)*(1-EXP('Technology maturity'!$B$14*('Aerial Platform'!K26-MIN('Technology maturity'!$A$2:$A$12))^'Technology maturity'!$B$15))))</f>
        <v>0.2</v>
      </c>
      <c r="L9" s="14">
        <f>'Tradeoff weights'!$D9*IF('Aerial Platform'!L26&lt;=MIN('Technology maturity'!$A$2:$A$12),0,IF('Aerial Platform'!L26&gt;=MAX('Technology maturity'!$A$2:$A$12),1,(1/'Technology maturity'!$B$16)*(1-EXP('Technology maturity'!$B$14*('Aerial Platform'!L26-MIN('Technology maturity'!$A$2:$A$12))^'Technology maturity'!$B$15))))</f>
        <v>0.14000000222044617</v>
      </c>
      <c r="M9" s="14">
        <f>'Tradeoff weights'!$D9*IF('Aerial Platform'!M26&lt;=MIN('Technology maturity'!$A$2:$A$12),0,IF('Aerial Platform'!M26&gt;=MAX('Technology maturity'!$A$2:$A$12),1,(1/'Technology maturity'!$B$16)*(1-EXP('Technology maturity'!$B$14*('Aerial Platform'!M26-MIN('Technology maturity'!$A$2:$A$12))^'Technology maturity'!$B$15))))</f>
        <v>0.2</v>
      </c>
      <c r="N9" s="14">
        <f>'Tradeoff weights'!$D9*IF('Aerial Platform'!N26&lt;=MIN('Technology maturity'!$A$2:$A$12),0,IF('Aerial Platform'!N26&gt;=MAX('Technology maturity'!$A$2:$A$12),1,(1/'Technology maturity'!$B$16)*(1-EXP('Technology maturity'!$B$14*('Aerial Platform'!N26-MIN('Technology maturity'!$A$2:$A$12))^'Technology maturity'!$B$15))))</f>
        <v>0.16000000177635695</v>
      </c>
      <c r="O9" s="14">
        <f>'Tradeoff weights'!$D9*IF('Aerial Platform'!O26&lt;=MIN('Technology maturity'!$A$2:$A$12),0,IF('Aerial Platform'!O26&gt;=MAX('Technology maturity'!$A$2:$A$12),1,(1/'Technology maturity'!$B$16)*(1-EXP('Technology maturity'!$B$14*('Aerial Platform'!O26-MIN('Technology maturity'!$A$2:$A$12))^'Technology maturity'!$B$15))))</f>
        <v>6.0000002220446172E-2</v>
      </c>
      <c r="P9" s="14">
        <f>'Tradeoff weights'!$D9*IF('Aerial Platform'!P26&lt;=MIN('Technology maturity'!$A$2:$A$12),0,IF('Aerial Platform'!P26&gt;=MAX('Technology maturity'!$A$2:$A$12),1,(1/'Technology maturity'!$B$16)*(1-EXP('Technology maturity'!$B$14*('Aerial Platform'!P26-MIN('Technology maturity'!$A$2:$A$12))^'Technology maturity'!$B$15))))</f>
        <v>0</v>
      </c>
      <c r="Q9" s="14">
        <f>'Tradeoff weights'!$D9*IF('Aerial Platform'!Q26&lt;=MIN('Technology maturity'!$A$2:$A$12),0,IF('Aerial Platform'!Q26&gt;=MAX('Technology maturity'!$A$2:$A$12),1,(1/'Technology maturity'!$B$16)*(1-EXP('Technology maturity'!$B$14*('Aerial Platform'!Q26-MIN('Technology maturity'!$A$2:$A$12))^'Technology maturity'!$B$15))))</f>
        <v>0.2</v>
      </c>
      <c r="R9" s="14">
        <f>'Tradeoff weights'!$D9*IF('Aerial Platform'!R26&lt;=MIN('Technology maturity'!$A$2:$A$12),0,IF('Aerial Platform'!R26&gt;=MAX('Technology maturity'!$A$2:$A$12),1,(1/'Technology maturity'!$B$16)*(1-EXP('Technology maturity'!$B$14*('Aerial Platform'!R26-MIN('Technology maturity'!$A$2:$A$12))^'Technology maturity'!$B$15))))</f>
        <v>0.2</v>
      </c>
      <c r="S9" s="14">
        <f>'Tradeoff weights'!$D9*IF('Aerial Platform'!S26&lt;=MIN('Technology maturity'!$A$2:$A$12),0,IF('Aerial Platform'!S26&gt;=MAX('Technology maturity'!$A$2:$A$12),1,(1/'Technology maturity'!$B$16)*(1-EXP('Technology maturity'!$B$14*('Aerial Platform'!S26-MIN('Technology maturity'!$A$2:$A$12))^'Technology maturity'!$B$15))))</f>
        <v>0.2</v>
      </c>
      <c r="T9" s="14">
        <f>'Tradeoff weights'!$D9*IF('Aerial Platform'!T26&lt;=MIN('Technology maturity'!$A$2:$A$12),0,IF('Aerial Platform'!T26&gt;=MAX('Technology maturity'!$A$2:$A$12),1,(1/'Technology maturity'!$B$16)*(1-EXP('Technology maturity'!$B$14*('Aerial Platform'!T26-MIN('Technology maturity'!$A$2:$A$12))^'Technology maturity'!$B$15))))</f>
        <v>0.18000000088817847</v>
      </c>
      <c r="U9" s="14">
        <f>'Tradeoff weights'!$D9*IF('Aerial Platform'!U26&lt;=MIN('Technology maturity'!$A$2:$A$12),0,IF('Aerial Platform'!U26&gt;=MAX('Technology maturity'!$A$2:$A$12),1,(1/'Technology maturity'!$B$16)*(1-EXP('Technology maturity'!$B$14*('Aerial Platform'!U26-MIN('Technology maturity'!$A$2:$A$12))^'Technology maturity'!$B$15))))</f>
        <v>0.2</v>
      </c>
      <c r="V9" s="14">
        <f>'Tradeoff weights'!$D9*IF('Aerial Platform'!V26&lt;=MIN('Technology maturity'!$A$2:$A$12),0,IF('Aerial Platform'!V26&gt;=MAX('Technology maturity'!$A$2:$A$12),1,(1/'Technology maturity'!$B$16)*(1-EXP('Technology maturity'!$B$14*('Aerial Platform'!V26-MIN('Technology maturity'!$A$2:$A$12))^'Technology maturity'!$B$15))))</f>
        <v>0.2</v>
      </c>
      <c r="W9" s="14">
        <f>'Tradeoff weights'!$D9*IF('Aerial Platform'!W26&lt;=MIN('Technology maturity'!$A$2:$A$12),0,IF('Aerial Platform'!W26&gt;=MAX('Technology maturity'!$A$2:$A$12),1,(1/'Technology maturity'!$B$16)*(1-EXP('Technology maturity'!$B$14*('Aerial Platform'!W26-MIN('Technology maturity'!$A$2:$A$12))^'Technology maturity'!$B$15))))</f>
        <v>0.2</v>
      </c>
      <c r="X9" s="14">
        <f>'Tradeoff weights'!$D9*IF('Aerial Platform'!X26&lt;=MIN('Technology maturity'!$A$2:$A$12),0,IF('Aerial Platform'!X26&gt;=MAX('Technology maturity'!$A$2:$A$12),1,(1/'Technology maturity'!$B$16)*(1-EXP('Technology maturity'!$B$14*('Aerial Platform'!X26-MIN('Technology maturity'!$A$2:$A$12))^'Technology maturity'!$B$15))))</f>
        <v>0.14000000222044617</v>
      </c>
      <c r="Y9" s="14">
        <f>'Tradeoff weights'!$D9*IF('Aerial Platform'!Y26&lt;=MIN('Technology maturity'!$A$2:$A$12),0,IF('Aerial Platform'!Y26&gt;=MAX('Technology maturity'!$A$2:$A$12),1,(1/'Technology maturity'!$B$16)*(1-EXP('Technology maturity'!$B$14*('Aerial Platform'!Y26-MIN('Technology maturity'!$A$2:$A$12))^'Technology maturity'!$B$15))))</f>
        <v>4.0000001554312319E-2</v>
      </c>
    </row>
    <row r="10" spans="1:25" x14ac:dyDescent="0.25">
      <c r="A10" t="str">
        <f>'Tradeoff weights'!A10</f>
        <v>All weather capability</v>
      </c>
      <c r="B10" s="14">
        <f>'Tradeoff weights'!$D10*IF(EXACT('Aerial Platform'!B30,Stealth!$A$2),Stealth!$B$2,Stealth!$B$3)</f>
        <v>0</v>
      </c>
      <c r="C10" s="14">
        <f>'Tradeoff weights'!$D10*IF(EXACT('Aerial Platform'!C30,Stealth!$A$2),Stealth!$B$2,Stealth!$B$3)</f>
        <v>0</v>
      </c>
      <c r="D10" s="14">
        <f>'Tradeoff weights'!$D10*IF(EXACT('Aerial Platform'!D30,Stealth!$A$2),Stealth!$B$2,Stealth!$B$3)</f>
        <v>0</v>
      </c>
      <c r="E10" s="14">
        <f>'Tradeoff weights'!$D10*IF(EXACT('Aerial Platform'!E30,Stealth!$A$2),Stealth!$B$2,Stealth!$B$3)</f>
        <v>0</v>
      </c>
      <c r="F10" s="14">
        <f>'Tradeoff weights'!$D10*IF(EXACT('Aerial Platform'!F30,Stealth!$A$2),Stealth!$B$2,Stealth!$B$3)</f>
        <v>0.3</v>
      </c>
      <c r="G10" s="14">
        <f>'Tradeoff weights'!$D10*IF(EXACT('Aerial Platform'!G30,Stealth!$A$2),Stealth!$B$2,Stealth!$B$3)</f>
        <v>0</v>
      </c>
      <c r="H10" s="14">
        <f>'Tradeoff weights'!$D10*IF(EXACT('Aerial Platform'!H30,Stealth!$A$2),Stealth!$B$2,Stealth!$B$3)</f>
        <v>0</v>
      </c>
      <c r="I10" s="14">
        <f>'Tradeoff weights'!$D10*IF(EXACT('Aerial Platform'!I30,Stealth!$A$2),Stealth!$B$2,Stealth!$B$3)</f>
        <v>0</v>
      </c>
      <c r="J10" s="14">
        <f>'Tradeoff weights'!$D10*IF(EXACT('Aerial Platform'!J30,Stealth!$A$2),Stealth!$B$2,Stealth!$B$3)</f>
        <v>0</v>
      </c>
      <c r="K10" s="14">
        <f>'Tradeoff weights'!$D10*IF(EXACT('Aerial Platform'!K30,Stealth!$A$2),Stealth!$B$2,Stealth!$B$3)</f>
        <v>0</v>
      </c>
      <c r="L10" s="14">
        <f>'Tradeoff weights'!$D10*IF(EXACT('Aerial Platform'!L30,Stealth!$A$2),Stealth!$B$2,Stealth!$B$3)</f>
        <v>0</v>
      </c>
      <c r="M10" s="14">
        <f>'Tradeoff weights'!$D10*IF(EXACT('Aerial Platform'!M30,Stealth!$A$2),Stealth!$B$2,Stealth!$B$3)</f>
        <v>0</v>
      </c>
      <c r="N10" s="14">
        <f>'Tradeoff weights'!$D10*IF(EXACT('Aerial Platform'!N30,Stealth!$A$2),Stealth!$B$2,Stealth!$B$3)</f>
        <v>0.3</v>
      </c>
      <c r="O10" s="14">
        <f>'Tradeoff weights'!$D10*IF(EXACT('Aerial Platform'!O30,Stealth!$A$2),Stealth!$B$2,Stealth!$B$3)</f>
        <v>0</v>
      </c>
      <c r="P10" s="14">
        <f>'Tradeoff weights'!$D10*IF(EXACT('Aerial Platform'!P30,Stealth!$A$2),Stealth!$B$2,Stealth!$B$3)</f>
        <v>0.3</v>
      </c>
      <c r="Q10" s="14">
        <f>'Tradeoff weights'!$D10*IF(EXACT('Aerial Platform'!Q30,Stealth!$A$2),Stealth!$B$2,Stealth!$B$3)</f>
        <v>0</v>
      </c>
      <c r="R10" s="14">
        <f>'Tradeoff weights'!$D10*IF(EXACT('Aerial Platform'!R30,Stealth!$A$2),Stealth!$B$2,Stealth!$B$3)</f>
        <v>0</v>
      </c>
      <c r="S10" s="14">
        <f>'Tradeoff weights'!$D10*IF(EXACT('Aerial Platform'!S30,Stealth!$A$2),Stealth!$B$2,Stealth!$B$3)</f>
        <v>0</v>
      </c>
      <c r="T10" s="14">
        <f>'Tradeoff weights'!$D10*IF(EXACT('Aerial Platform'!T30,Stealth!$A$2),Stealth!$B$2,Stealth!$B$3)</f>
        <v>0</v>
      </c>
      <c r="U10" s="14">
        <f>'Tradeoff weights'!$D10*IF(EXACT('Aerial Platform'!U30,Stealth!$A$2),Stealth!$B$2,Stealth!$B$3)</f>
        <v>0</v>
      </c>
      <c r="V10" s="14">
        <f>'Tradeoff weights'!$D10*IF(EXACT('Aerial Platform'!V30,Stealth!$A$2),Stealth!$B$2,Stealth!$B$3)</f>
        <v>0.3</v>
      </c>
      <c r="W10" s="14">
        <f>'Tradeoff weights'!$D10*IF(EXACT('Aerial Platform'!W30,Stealth!$A$2),Stealth!$B$2,Stealth!$B$3)</f>
        <v>0.3</v>
      </c>
      <c r="X10" s="14">
        <f>'Tradeoff weights'!$D10*IF(EXACT('Aerial Platform'!X30,Stealth!$A$2),Stealth!$B$2,Stealth!$B$3)</f>
        <v>0</v>
      </c>
      <c r="Y10" s="14">
        <f>'Tradeoff weights'!$D10*IF(EXACT('Aerial Platform'!Y30,Stealth!$A$2),Stealth!$B$2,Stealth!$B$3)</f>
        <v>0</v>
      </c>
    </row>
    <row r="11" spans="1:25" x14ac:dyDescent="0.25">
      <c r="A11" t="str">
        <f>'Tradeoff weights'!A11</f>
        <v>Man portability</v>
      </c>
      <c r="B11" s="14">
        <f>'Tradeoff weights'!$D11*IF(EXACT('Aerial Platform'!B50,'Man portability'!$A$2),'Man portability'!$B$2,'Man portability'!$B$3)</f>
        <v>0</v>
      </c>
      <c r="C11" s="14">
        <f>'Tradeoff weights'!$D11*IF(EXACT('Aerial Platform'!C50,'Man portability'!$A$2),'Man portability'!$B$2,'Man portability'!$B$3)</f>
        <v>0</v>
      </c>
      <c r="D11" s="14">
        <f>'Tradeoff weights'!$D11*IF(EXACT('Aerial Platform'!D50,'Man portability'!$A$2),'Man portability'!$B$2,'Man portability'!$B$3)</f>
        <v>0</v>
      </c>
      <c r="E11" s="14">
        <f>'Tradeoff weights'!$D11*IF(EXACT('Aerial Platform'!E50,'Man portability'!$A$2),'Man portability'!$B$2,'Man portability'!$B$3)</f>
        <v>0</v>
      </c>
      <c r="F11" s="14">
        <f>'Tradeoff weights'!$D11*IF(EXACT('Aerial Platform'!F50,'Man portability'!$A$2),'Man portability'!$B$2,'Man portability'!$B$3)</f>
        <v>0</v>
      </c>
      <c r="G11" s="14">
        <f>'Tradeoff weights'!$D11*IF(EXACT('Aerial Platform'!G50,'Man portability'!$A$2),'Man portability'!$B$2,'Man portability'!$B$3)</f>
        <v>0</v>
      </c>
      <c r="H11" s="14">
        <f>'Tradeoff weights'!$D11*IF(EXACT('Aerial Platform'!H50,'Man portability'!$A$2),'Man portability'!$B$2,'Man portability'!$B$3)</f>
        <v>0</v>
      </c>
      <c r="I11" s="14">
        <f>'Tradeoff weights'!$D11*IF(EXACT('Aerial Platform'!I50,'Man portability'!$A$2),'Man portability'!$B$2,'Man portability'!$B$3)</f>
        <v>0</v>
      </c>
      <c r="J11" s="14">
        <f>'Tradeoff weights'!$D11*IF(EXACT('Aerial Platform'!J50,'Man portability'!$A$2),'Man portability'!$B$2,'Man portability'!$B$3)</f>
        <v>0</v>
      </c>
      <c r="K11" s="14">
        <f>'Tradeoff weights'!$D11*IF(EXACT('Aerial Platform'!K50,'Man portability'!$A$2),'Man portability'!$B$2,'Man portability'!$B$3)</f>
        <v>0</v>
      </c>
      <c r="L11" s="14">
        <f>'Tradeoff weights'!$D11*IF(EXACT('Aerial Platform'!L50,'Man portability'!$A$2),'Man portability'!$B$2,'Man portability'!$B$3)</f>
        <v>0</v>
      </c>
      <c r="M11" s="14">
        <f>'Tradeoff weights'!$D11*IF(EXACT('Aerial Platform'!M50,'Man portability'!$A$2),'Man portability'!$B$2,'Man portability'!$B$3)</f>
        <v>0</v>
      </c>
      <c r="N11" s="14">
        <f>'Tradeoff weights'!$D11*IF(EXACT('Aerial Platform'!N50,'Man portability'!$A$2),'Man portability'!$B$2,'Man portability'!$B$3)</f>
        <v>0</v>
      </c>
      <c r="O11" s="14">
        <f>'Tradeoff weights'!$D11*IF(EXACT('Aerial Platform'!O50,'Man portability'!$A$2),'Man portability'!$B$2,'Man portability'!$B$3)</f>
        <v>0</v>
      </c>
      <c r="P11" s="14">
        <f>'Tradeoff weights'!$D11*IF(EXACT('Aerial Platform'!P50,'Man portability'!$A$2),'Man portability'!$B$2,'Man portability'!$B$3)</f>
        <v>0</v>
      </c>
      <c r="Q11" s="14">
        <f>'Tradeoff weights'!$D11*IF(EXACT('Aerial Platform'!Q50,'Man portability'!$A$2),'Man portability'!$B$2,'Man portability'!$B$3)</f>
        <v>0</v>
      </c>
      <c r="R11" s="14">
        <f>'Tradeoff weights'!$D11*IF(EXACT('Aerial Platform'!R50,'Man portability'!$A$2),'Man portability'!$B$2,'Man portability'!$B$3)</f>
        <v>0</v>
      </c>
      <c r="S11" s="14">
        <f>'Tradeoff weights'!$D11*IF(EXACT('Aerial Platform'!S50,'Man portability'!$A$2),'Man portability'!$B$2,'Man portability'!$B$3)</f>
        <v>0</v>
      </c>
      <c r="T11" s="14">
        <f>'Tradeoff weights'!$D11*IF(EXACT('Aerial Platform'!T50,'Man portability'!$A$2),'Man portability'!$B$2,'Man portability'!$B$3)</f>
        <v>0</v>
      </c>
      <c r="U11" s="14">
        <f>'Tradeoff weights'!$D11*IF(EXACT('Aerial Platform'!U50,'Man portability'!$A$2),'Man portability'!$B$2,'Man portability'!$B$3)</f>
        <v>0</v>
      </c>
      <c r="V11" s="14">
        <f>'Tradeoff weights'!$D11*IF(EXACT('Aerial Platform'!V50,'Man portability'!$A$2),'Man portability'!$B$2,'Man portability'!$B$3)</f>
        <v>0</v>
      </c>
      <c r="W11" s="14">
        <f>'Tradeoff weights'!$D11*IF(EXACT('Aerial Platform'!W50,'Man portability'!$A$2),'Man portability'!$B$2,'Man portability'!$B$3)</f>
        <v>0</v>
      </c>
      <c r="X11" s="14">
        <f>'Tradeoff weights'!$D11*IF(EXACT('Aerial Platform'!X50,'Man portability'!$A$2),'Man portability'!$B$2,'Man portability'!$B$3)</f>
        <v>0</v>
      </c>
      <c r="Y11" s="14">
        <f>'Tradeoff weights'!$D11*IF(EXACT('Aerial Platform'!Y50,'Man portability'!$A$2),'Man portability'!$B$2,'Man portability'!$B$3)</f>
        <v>0</v>
      </c>
    </row>
    <row r="12" spans="1:25" x14ac:dyDescent="0.25">
      <c r="A12" t="str">
        <f>'Tradeoff weights'!A12</f>
        <v>Launch method</v>
      </c>
      <c r="B12" s="14">
        <f>'Tradeoff weights'!$D12*VLOOKUP('Aerial Platform'!B22,'Launch method'!$A$2:$B$6,2,FALSE)</f>
        <v>0</v>
      </c>
      <c r="C12" s="14">
        <f>'Tradeoff weights'!$D12*VLOOKUP('Aerial Platform'!C22,'Launch method'!$A$2:$B$6,2,FALSE)</f>
        <v>0</v>
      </c>
      <c r="D12" s="14">
        <f>'Tradeoff weights'!$D12*VLOOKUP('Aerial Platform'!D22,'Launch method'!$A$2:$B$6,2,FALSE)</f>
        <v>0</v>
      </c>
      <c r="E12" s="14">
        <f>'Tradeoff weights'!$D12*VLOOKUP('Aerial Platform'!E22,'Launch method'!$A$2:$B$6,2,FALSE)</f>
        <v>0</v>
      </c>
      <c r="F12" s="14">
        <f>'Tradeoff weights'!$D12*VLOOKUP('Aerial Platform'!F22,'Launch method'!$A$2:$B$6,2,FALSE)</f>
        <v>0</v>
      </c>
      <c r="G12" s="14">
        <f>'Tradeoff weights'!$D12*VLOOKUP('Aerial Platform'!G22,'Launch method'!$A$2:$B$6,2,FALSE)</f>
        <v>0</v>
      </c>
      <c r="H12" s="14">
        <f>'Tradeoff weights'!$D12*VLOOKUP('Aerial Platform'!H22,'Launch method'!$A$2:$B$6,2,FALSE)</f>
        <v>0</v>
      </c>
      <c r="I12" s="14">
        <f>'Tradeoff weights'!$D12*VLOOKUP('Aerial Platform'!I22,'Launch method'!$A$2:$B$6,2,FALSE)</f>
        <v>0</v>
      </c>
      <c r="J12" s="14">
        <f>'Tradeoff weights'!$D12*VLOOKUP('Aerial Platform'!J22,'Launch method'!$A$2:$B$6,2,FALSE)</f>
        <v>0</v>
      </c>
      <c r="K12" s="14">
        <f>'Tradeoff weights'!$D12*VLOOKUP('Aerial Platform'!K22,'Launch method'!$A$2:$B$6,2,FALSE)</f>
        <v>0</v>
      </c>
      <c r="L12" s="14">
        <f>'Tradeoff weights'!$D12*VLOOKUP('Aerial Platform'!L22,'Launch method'!$A$2:$B$6,2,FALSE)</f>
        <v>0</v>
      </c>
      <c r="M12" s="14">
        <f>'Tradeoff weights'!$D12*VLOOKUP('Aerial Platform'!M22,'Launch method'!$A$2:$B$6,2,FALSE)</f>
        <v>0</v>
      </c>
      <c r="N12" s="14">
        <f>'Tradeoff weights'!$D12*VLOOKUP('Aerial Platform'!N22,'Launch method'!$A$2:$B$6,2,FALSE)</f>
        <v>0</v>
      </c>
      <c r="O12" s="14">
        <f>'Tradeoff weights'!$D12*VLOOKUP('Aerial Platform'!O22,'Launch method'!$A$2:$B$6,2,FALSE)</f>
        <v>0</v>
      </c>
      <c r="P12" s="14">
        <f>'Tradeoff weights'!$D12*VLOOKUP('Aerial Platform'!P22,'Launch method'!$A$2:$B$6,2,FALSE)</f>
        <v>0</v>
      </c>
      <c r="Q12" s="14">
        <f>'Tradeoff weights'!$D12*VLOOKUP('Aerial Platform'!Q22,'Launch method'!$A$2:$B$6,2,FALSE)</f>
        <v>0</v>
      </c>
      <c r="R12" s="14">
        <f>'Tradeoff weights'!$D12*VLOOKUP('Aerial Platform'!R22,'Launch method'!$A$2:$B$6,2,FALSE)</f>
        <v>0</v>
      </c>
      <c r="S12" s="14">
        <f>'Tradeoff weights'!$D12*VLOOKUP('Aerial Platform'!S22,'Launch method'!$A$2:$B$6,2,FALSE)</f>
        <v>0</v>
      </c>
      <c r="T12" s="14">
        <f>'Tradeoff weights'!$D12*VLOOKUP('Aerial Platform'!T22,'Launch method'!$A$2:$B$6,2,FALSE)</f>
        <v>0</v>
      </c>
      <c r="U12" s="14">
        <f>'Tradeoff weights'!$D12*VLOOKUP('Aerial Platform'!U22,'Launch method'!$A$2:$B$6,2,FALSE)</f>
        <v>0</v>
      </c>
      <c r="V12" s="14">
        <f>'Tradeoff weights'!$D12*VLOOKUP('Aerial Platform'!V22,'Launch method'!$A$2:$B$6,2,FALSE)</f>
        <v>0</v>
      </c>
      <c r="W12" s="14">
        <f>'Tradeoff weights'!$D12*VLOOKUP('Aerial Platform'!W22,'Launch method'!$A$2:$B$6,2,FALSE)</f>
        <v>0</v>
      </c>
      <c r="X12" s="14">
        <f>'Tradeoff weights'!$D12*VLOOKUP('Aerial Platform'!X22,'Launch method'!$A$2:$B$6,2,FALSE)</f>
        <v>0</v>
      </c>
      <c r="Y12" s="14">
        <f>'Tradeoff weights'!$D12*VLOOKUP('Aerial Platform'!Y22,'Launch method'!$A$2:$B$6,2,FALSE)</f>
        <v>0</v>
      </c>
    </row>
    <row r="13" spans="1:25" x14ac:dyDescent="0.25">
      <c r="A13" t="str">
        <f>'Tradeoff weights'!A13</f>
        <v>Recovery method</v>
      </c>
      <c r="B13" s="14">
        <f>'Tradeoff weights'!$D13*VLOOKUP('Aerial Platform'!B23,'Recovery method'!$A$2:$B$8,2,FALSE)</f>
        <v>0</v>
      </c>
      <c r="C13" s="14">
        <f>'Tradeoff weights'!$D13*VLOOKUP('Aerial Platform'!C23,'Recovery method'!$A$2:$B$8,2,FALSE)</f>
        <v>0</v>
      </c>
      <c r="D13" s="14">
        <f>'Tradeoff weights'!$D13*VLOOKUP('Aerial Platform'!D23,'Recovery method'!$A$2:$B$8,2,FALSE)</f>
        <v>0</v>
      </c>
      <c r="E13" s="14">
        <f>'Tradeoff weights'!$D13*VLOOKUP('Aerial Platform'!E23,'Recovery method'!$A$2:$B$8,2,FALSE)</f>
        <v>0</v>
      </c>
      <c r="F13" s="14">
        <f>'Tradeoff weights'!$D13*VLOOKUP('Aerial Platform'!F23,'Recovery method'!$A$2:$B$8,2,FALSE)</f>
        <v>0</v>
      </c>
      <c r="G13" s="14">
        <f>'Tradeoff weights'!$D13*VLOOKUP('Aerial Platform'!G23,'Recovery method'!$A$2:$B$8,2,FALSE)</f>
        <v>0</v>
      </c>
      <c r="H13" s="14">
        <f>'Tradeoff weights'!$D13*VLOOKUP('Aerial Platform'!H23,'Recovery method'!$A$2:$B$8,2,FALSE)</f>
        <v>0</v>
      </c>
      <c r="I13" s="14">
        <f>'Tradeoff weights'!$D13*VLOOKUP('Aerial Platform'!I23,'Recovery method'!$A$2:$B$8,2,FALSE)</f>
        <v>0</v>
      </c>
      <c r="J13" s="14">
        <f>'Tradeoff weights'!$D13*VLOOKUP('Aerial Platform'!J23,'Recovery method'!$A$2:$B$8,2,FALSE)</f>
        <v>0</v>
      </c>
      <c r="K13" s="14">
        <f>'Tradeoff weights'!$D13*VLOOKUP('Aerial Platform'!K23,'Recovery method'!$A$2:$B$8,2,FALSE)</f>
        <v>0</v>
      </c>
      <c r="L13" s="14">
        <f>'Tradeoff weights'!$D13*VLOOKUP('Aerial Platform'!L23,'Recovery method'!$A$2:$B$8,2,FALSE)</f>
        <v>0</v>
      </c>
      <c r="M13" s="14">
        <f>'Tradeoff weights'!$D13*VLOOKUP('Aerial Platform'!M23,'Recovery method'!$A$2:$B$8,2,FALSE)</f>
        <v>0</v>
      </c>
      <c r="N13" s="14">
        <f>'Tradeoff weights'!$D13*VLOOKUP('Aerial Platform'!N23,'Recovery method'!$A$2:$B$8,2,FALSE)</f>
        <v>0</v>
      </c>
      <c r="O13" s="14">
        <f>'Tradeoff weights'!$D13*VLOOKUP('Aerial Platform'!O23,'Recovery method'!$A$2:$B$8,2,FALSE)</f>
        <v>0</v>
      </c>
      <c r="P13" s="14">
        <f>'Tradeoff weights'!$D13*VLOOKUP('Aerial Platform'!P23,'Recovery method'!$A$2:$B$8,2,FALSE)</f>
        <v>0</v>
      </c>
      <c r="Q13" s="14">
        <f>'Tradeoff weights'!$D13*VLOOKUP('Aerial Platform'!Q23,'Recovery method'!$A$2:$B$8,2,FALSE)</f>
        <v>0</v>
      </c>
      <c r="R13" s="14">
        <f>'Tradeoff weights'!$D13*VLOOKUP('Aerial Platform'!R23,'Recovery method'!$A$2:$B$8,2,FALSE)</f>
        <v>0</v>
      </c>
      <c r="S13" s="14">
        <f>'Tradeoff weights'!$D13*VLOOKUP('Aerial Platform'!S23,'Recovery method'!$A$2:$B$8,2,FALSE)</f>
        <v>0</v>
      </c>
      <c r="T13" s="14">
        <f>'Tradeoff weights'!$D13*VLOOKUP('Aerial Platform'!T23,'Recovery method'!$A$2:$B$8,2,FALSE)</f>
        <v>0</v>
      </c>
      <c r="U13" s="14">
        <f>'Tradeoff weights'!$D13*VLOOKUP('Aerial Platform'!U23,'Recovery method'!$A$2:$B$8,2,FALSE)</f>
        <v>0</v>
      </c>
      <c r="V13" s="14">
        <f>'Tradeoff weights'!$D13*VLOOKUP('Aerial Platform'!V23,'Recovery method'!$A$2:$B$8,2,FALSE)</f>
        <v>0</v>
      </c>
      <c r="W13" s="14">
        <f>'Tradeoff weights'!$D13*VLOOKUP('Aerial Platform'!W23,'Recovery method'!$A$2:$B$8,2,FALSE)</f>
        <v>0</v>
      </c>
      <c r="X13" s="14">
        <f>'Tradeoff weights'!$D13*VLOOKUP('Aerial Platform'!X23,'Recovery method'!$A$2:$B$8,2,FALSE)</f>
        <v>0</v>
      </c>
      <c r="Y13" s="14">
        <f>'Tradeoff weights'!$D13*VLOOKUP('Aerial Platform'!Y23,'Recovery method'!$A$2:$B$8,2,FALSE)</f>
        <v>0</v>
      </c>
    </row>
    <row r="15" spans="1:25" x14ac:dyDescent="0.25">
      <c r="A15" s="16" t="s">
        <v>212</v>
      </c>
      <c r="B15" s="14">
        <f>SUM(B2:B13)</f>
        <v>0.54020088854176129</v>
      </c>
      <c r="C15" s="14">
        <f>SUM(C2:C13)</f>
        <v>0.48500204647070866</v>
      </c>
      <c r="D15" s="14">
        <f>SUM(D2:D13)</f>
        <v>0.7</v>
      </c>
      <c r="E15" s="14">
        <f t="shared" ref="E15:Y15" si="0">SUM(E2:E13)</f>
        <v>0.7</v>
      </c>
      <c r="F15" s="14">
        <f t="shared" si="0"/>
        <v>0.84000000155431231</v>
      </c>
      <c r="G15" s="14">
        <f t="shared" si="0"/>
        <v>0.31794002702085666</v>
      </c>
      <c r="H15" s="14">
        <f t="shared" si="0"/>
        <v>0.43080688026398806</v>
      </c>
      <c r="I15" s="14">
        <f t="shared" si="0"/>
        <v>0.63156002879574025</v>
      </c>
      <c r="J15" s="14">
        <f t="shared" si="0"/>
        <v>0.2</v>
      </c>
      <c r="K15" s="14">
        <f t="shared" si="0"/>
        <v>0.27480249678714519</v>
      </c>
      <c r="L15" s="14">
        <f t="shared" si="0"/>
        <v>0.14000000222044617</v>
      </c>
      <c r="M15" s="14">
        <f t="shared" si="0"/>
        <v>0.52301003679546199</v>
      </c>
      <c r="N15" s="14">
        <f t="shared" si="0"/>
        <v>0.61633089074791547</v>
      </c>
      <c r="O15" s="14">
        <f t="shared" si="0"/>
        <v>0.25487314436162417</v>
      </c>
      <c r="P15" s="14">
        <f t="shared" si="0"/>
        <v>0.7847362052359167</v>
      </c>
      <c r="Q15" s="14">
        <f t="shared" si="0"/>
        <v>0.2</v>
      </c>
      <c r="R15" s="14">
        <f t="shared" si="0"/>
        <v>0.2</v>
      </c>
      <c r="S15" s="14">
        <f t="shared" si="0"/>
        <v>0.3452119673281292</v>
      </c>
      <c r="T15" s="14">
        <f t="shared" si="0"/>
        <v>0.18000000088817847</v>
      </c>
      <c r="U15" s="14">
        <f t="shared" si="0"/>
        <v>0.379</v>
      </c>
      <c r="V15" s="14">
        <f t="shared" si="0"/>
        <v>0.67900000000000005</v>
      </c>
      <c r="W15" s="14">
        <f t="shared" si="0"/>
        <v>0.67900000000000005</v>
      </c>
      <c r="X15" s="14">
        <f t="shared" si="0"/>
        <v>0.31900000222044617</v>
      </c>
      <c r="Y15" s="14">
        <f t="shared" si="0"/>
        <v>0.45050000155431236</v>
      </c>
    </row>
    <row r="16" spans="1:25" x14ac:dyDescent="0.25">
      <c r="A16" s="16" t="s">
        <v>214</v>
      </c>
      <c r="B16" s="1">
        <f>'Aerial Platform'!B51</f>
        <v>2.0190046678402069</v>
      </c>
      <c r="C16" s="1">
        <f>'Aerial Platform'!C51</f>
        <v>4.8089363873716948</v>
      </c>
      <c r="D16" s="1">
        <f>'Aerial Platform'!D51</f>
        <v>34.357959906292898</v>
      </c>
      <c r="E16" s="1">
        <f>'Aerial Platform'!E51</f>
        <v>34.357959906292898</v>
      </c>
      <c r="F16" s="1">
        <f>'Aerial Platform'!F51</f>
        <v>26.429602435675921</v>
      </c>
      <c r="G16" s="1">
        <f>'Aerial Platform'!G51</f>
        <v>0.85606088618099418</v>
      </c>
      <c r="H16" s="1">
        <f>'Aerial Platform'!H51</f>
        <v>3.3834230952380957</v>
      </c>
      <c r="I16" s="1">
        <f>'Aerial Platform'!I51</f>
        <v>3.6373688371466542</v>
      </c>
      <c r="J16" s="1">
        <f>'Aerial Platform'!J51</f>
        <v>1.496300212946621E-2</v>
      </c>
      <c r="K16" s="1">
        <f>'Aerial Platform'!K51</f>
        <v>8.1808722813740617E-2</v>
      </c>
      <c r="L16" s="1">
        <f>'Aerial Platform'!L51</f>
        <v>0.14842142332365665</v>
      </c>
      <c r="M16" s="1">
        <f>'Aerial Platform'!M51</f>
        <v>2.6566246889867919</v>
      </c>
      <c r="N16" s="1">
        <f>'Aerial Platform'!N51</f>
        <v>0</v>
      </c>
      <c r="O16" s="1">
        <f>'Aerial Platform'!O51</f>
        <v>0.94010418616306357</v>
      </c>
      <c r="P16" s="1">
        <f>'Aerial Platform'!P51</f>
        <v>95.447859659285413</v>
      </c>
      <c r="Q16" s="1">
        <f>'Aerial Platform'!Q51</f>
        <v>1.7456835817710577E-2</v>
      </c>
      <c r="R16" s="1">
        <f>'Aerial Platform'!R51</f>
        <v>0</v>
      </c>
      <c r="S16" s="1">
        <f>'Aerial Platform'!S51</f>
        <v>1.7456835817710577E-2</v>
      </c>
      <c r="T16" s="1">
        <f>'Aerial Platform'!T51</f>
        <v>0</v>
      </c>
      <c r="U16" s="1">
        <f>'Aerial Platform'!U51</f>
        <v>2.5453899682805297</v>
      </c>
      <c r="V16" s="1">
        <f>'Aerial Platform'!V51</f>
        <v>9.568514795844546E-2</v>
      </c>
      <c r="W16" s="1">
        <f>'Aerial Platform'!W51</f>
        <v>2.7141500472479669E-2</v>
      </c>
      <c r="X16" s="1">
        <f>'Aerial Platform'!X51</f>
        <v>0.11711345408399612</v>
      </c>
      <c r="Y16" s="1">
        <f>'Aerial Platform'!Y51</f>
        <v>0</v>
      </c>
    </row>
    <row r="18" spans="1:6" x14ac:dyDescent="0.25">
      <c r="A18" s="16" t="s">
        <v>213</v>
      </c>
      <c r="F18" s="14"/>
    </row>
    <row r="19" spans="1:6" x14ac:dyDescent="0.25">
      <c r="A19" t="str">
        <f>'Tradeoff weights'!A17</f>
        <v>Flexibility</v>
      </c>
    </row>
    <row r="20" spans="1:6" x14ac:dyDescent="0.25">
      <c r="A20" t="str">
        <f>'Tradeoff weights'!A18</f>
        <v>Performance</v>
      </c>
    </row>
    <row r="21" spans="1:6" x14ac:dyDescent="0.25">
      <c r="A21" t="str">
        <f>'Tradeoff weights'!A19</f>
        <v>Readiness</v>
      </c>
    </row>
    <row r="22" spans="1:6" x14ac:dyDescent="0.25">
      <c r="A22" t="str">
        <f>'Tradeoff weights'!A20</f>
        <v>Survivability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C35" sqref="C35"/>
    </sheetView>
  </sheetViews>
  <sheetFormatPr defaultRowHeight="15" x14ac:dyDescent="0.25"/>
  <cols>
    <col min="1" max="1" width="20.28515625" bestFit="1" customWidth="1"/>
    <col min="2" max="10" width="8.7109375" customWidth="1"/>
    <col min="11" max="11" width="4.5703125" bestFit="1" customWidth="1"/>
    <col min="12" max="12" width="10.28515625" bestFit="1" customWidth="1"/>
    <col min="13" max="13" width="6.7109375" bestFit="1" customWidth="1"/>
    <col min="14" max="14" width="12.28515625" bestFit="1" customWidth="1"/>
    <col min="15" max="15" width="9" bestFit="1" customWidth="1"/>
    <col min="16" max="16" width="5.28515625" bestFit="1" customWidth="1"/>
    <col min="17" max="18" width="8.7109375" bestFit="1" customWidth="1"/>
  </cols>
  <sheetData>
    <row r="1" spans="1:10" ht="14.45" x14ac:dyDescent="0.3">
      <c r="A1" t="s">
        <v>58</v>
      </c>
      <c r="B1" t="s">
        <v>152</v>
      </c>
      <c r="C1" t="s">
        <v>150</v>
      </c>
      <c r="D1" t="s">
        <v>147</v>
      </c>
      <c r="E1" t="s">
        <v>148</v>
      </c>
      <c r="F1" t="s">
        <v>59</v>
      </c>
      <c r="G1" t="s">
        <v>138</v>
      </c>
      <c r="H1" t="s">
        <v>176</v>
      </c>
      <c r="I1" t="s">
        <v>149</v>
      </c>
      <c r="J1" t="s">
        <v>146</v>
      </c>
    </row>
    <row r="2" spans="1:10" ht="14.45" x14ac:dyDescent="0.3">
      <c r="A2" t="s">
        <v>11</v>
      </c>
      <c r="B2" t="s">
        <v>50</v>
      </c>
      <c r="C2" t="s">
        <v>50</v>
      </c>
      <c r="D2" t="s">
        <v>51</v>
      </c>
      <c r="E2" t="s">
        <v>51</v>
      </c>
      <c r="F2" t="s">
        <v>49</v>
      </c>
      <c r="G2" t="s">
        <v>49</v>
      </c>
      <c r="H2" t="s">
        <v>67</v>
      </c>
      <c r="I2" t="s">
        <v>67</v>
      </c>
      <c r="J2" t="s">
        <v>68</v>
      </c>
    </row>
    <row r="3" spans="1:10" ht="14.45" x14ac:dyDescent="0.3">
      <c r="A3" t="s">
        <v>9</v>
      </c>
      <c r="B3">
        <v>0.2</v>
      </c>
      <c r="C3">
        <v>3.2</v>
      </c>
      <c r="D3">
        <f>25+6*33+13+20*2</f>
        <v>276</v>
      </c>
      <c r="E3">
        <f>25+33+20</f>
        <v>78</v>
      </c>
      <c r="F3">
        <f>55/16</f>
        <v>3.4375</v>
      </c>
      <c r="G3">
        <f>3/16</f>
        <v>0.1875</v>
      </c>
      <c r="H3">
        <v>5.5</v>
      </c>
      <c r="I3">
        <v>12</v>
      </c>
      <c r="J3">
        <v>0.2</v>
      </c>
    </row>
    <row r="4" spans="1:10" ht="14.45" x14ac:dyDescent="0.3">
      <c r="A4" t="s">
        <v>126</v>
      </c>
      <c r="B4">
        <v>2</v>
      </c>
      <c r="C4">
        <v>2</v>
      </c>
      <c r="D4">
        <f>6*80</f>
        <v>480</v>
      </c>
      <c r="E4">
        <v>80</v>
      </c>
      <c r="F4">
        <v>8</v>
      </c>
      <c r="G4">
        <v>2</v>
      </c>
      <c r="H4">
        <v>0.316</v>
      </c>
      <c r="I4">
        <v>20</v>
      </c>
      <c r="J4">
        <v>1.5</v>
      </c>
    </row>
    <row r="5" spans="1:10" ht="14.45" x14ac:dyDescent="0.3">
      <c r="A5" t="s">
        <v>153</v>
      </c>
      <c r="B5">
        <v>-92</v>
      </c>
      <c r="C5">
        <v>-92</v>
      </c>
      <c r="D5">
        <v>-119.5</v>
      </c>
      <c r="E5">
        <v>-119.5</v>
      </c>
      <c r="F5">
        <v>-100</v>
      </c>
      <c r="G5">
        <v>-104</v>
      </c>
      <c r="H5" s="4">
        <v>-88</v>
      </c>
      <c r="I5" s="4">
        <v>-118</v>
      </c>
      <c r="J5" s="4">
        <v>-90</v>
      </c>
    </row>
    <row r="6" spans="1:10" ht="14.45" x14ac:dyDescent="0.3">
      <c r="A6" t="s">
        <v>55</v>
      </c>
      <c r="B6">
        <v>16.5</v>
      </c>
      <c r="C6">
        <v>55</v>
      </c>
      <c r="D6">
        <v>3275</v>
      </c>
      <c r="E6">
        <v>855</v>
      </c>
      <c r="F6">
        <v>21</v>
      </c>
      <c r="G6">
        <v>4.3</v>
      </c>
      <c r="H6">
        <v>22</v>
      </c>
      <c r="I6">
        <v>55</v>
      </c>
      <c r="J6">
        <v>9</v>
      </c>
    </row>
    <row r="7" spans="1:10" ht="14.45" hidden="1" x14ac:dyDescent="0.3">
      <c r="A7" t="s">
        <v>78</v>
      </c>
      <c r="B7">
        <v>130</v>
      </c>
      <c r="D7">
        <v>62</v>
      </c>
      <c r="G7">
        <v>26</v>
      </c>
    </row>
    <row r="8" spans="1:10" ht="14.45" x14ac:dyDescent="0.3">
      <c r="A8" t="s">
        <v>56</v>
      </c>
      <c r="B8">
        <v>37</v>
      </c>
      <c r="C8">
        <f>37*4</f>
        <v>148</v>
      </c>
      <c r="D8">
        <v>346</v>
      </c>
      <c r="E8">
        <v>150</v>
      </c>
      <c r="F8">
        <v>40</v>
      </c>
      <c r="G8">
        <v>8</v>
      </c>
      <c r="H8">
        <v>90</v>
      </c>
      <c r="I8">
        <v>1.6E-2</v>
      </c>
      <c r="J8">
        <v>4.5</v>
      </c>
    </row>
    <row r="9" spans="1:10" ht="14.45" x14ac:dyDescent="0.3">
      <c r="A9" t="s">
        <v>57</v>
      </c>
      <c r="B9">
        <v>37</v>
      </c>
      <c r="C9">
        <f>37*4</f>
        <v>148</v>
      </c>
      <c r="D9">
        <v>112</v>
      </c>
      <c r="E9">
        <v>50</v>
      </c>
      <c r="F9">
        <v>40</v>
      </c>
      <c r="G9">
        <v>8</v>
      </c>
      <c r="H9">
        <v>90</v>
      </c>
      <c r="I9">
        <v>1.6E-2</v>
      </c>
      <c r="J9">
        <v>4.5</v>
      </c>
    </row>
    <row r="10" spans="1:10" ht="14.45" x14ac:dyDescent="0.3">
      <c r="A10" t="s">
        <v>136</v>
      </c>
      <c r="B10">
        <v>2012</v>
      </c>
      <c r="C10">
        <v>2012</v>
      </c>
      <c r="D10">
        <v>2011</v>
      </c>
      <c r="E10">
        <v>2011</v>
      </c>
      <c r="F10">
        <v>2010</v>
      </c>
      <c r="G10">
        <v>2013</v>
      </c>
      <c r="H10">
        <v>2010</v>
      </c>
      <c r="I10">
        <v>2011</v>
      </c>
      <c r="J10">
        <v>2009</v>
      </c>
    </row>
    <row r="11" spans="1:10" ht="14.45" x14ac:dyDescent="0.3">
      <c r="A11" t="s">
        <v>137</v>
      </c>
      <c r="B11" s="2">
        <f>IF(EXACT(B10,"-"),B10,2014-B10)</f>
        <v>2</v>
      </c>
      <c r="C11" s="2">
        <f>IF(EXACT(C10,"-"),C10,2014-C10)</f>
        <v>2</v>
      </c>
      <c r="D11" s="2">
        <f t="shared" ref="D11:J11" si="0">IF(EXACT(D10,"-"),D10,2014-D10)</f>
        <v>3</v>
      </c>
      <c r="E11" s="2">
        <f t="shared" si="0"/>
        <v>3</v>
      </c>
      <c r="F11" s="2">
        <f t="shared" si="0"/>
        <v>4</v>
      </c>
      <c r="G11" s="2">
        <f t="shared" si="0"/>
        <v>1</v>
      </c>
      <c r="H11" s="2">
        <f t="shared" si="0"/>
        <v>4</v>
      </c>
      <c r="I11" s="2">
        <f t="shared" si="0"/>
        <v>3</v>
      </c>
      <c r="J11" s="2">
        <f t="shared" si="0"/>
        <v>5</v>
      </c>
    </row>
    <row r="12" spans="1:10" ht="14.45" x14ac:dyDescent="0.3">
      <c r="A12" t="s">
        <v>177</v>
      </c>
      <c r="B12" t="s">
        <v>142</v>
      </c>
      <c r="C12" t="s">
        <v>142</v>
      </c>
      <c r="D12" t="s">
        <v>142</v>
      </c>
      <c r="E12" t="s">
        <v>142</v>
      </c>
      <c r="F12" t="s">
        <v>142</v>
      </c>
      <c r="G12" t="s">
        <v>142</v>
      </c>
      <c r="H12" t="s">
        <v>141</v>
      </c>
      <c r="I12" t="s">
        <v>141</v>
      </c>
      <c r="J12" t="s">
        <v>87</v>
      </c>
    </row>
    <row r="13" spans="1:10" ht="14.45" hidden="1" x14ac:dyDescent="0.3">
      <c r="A13" t="s">
        <v>54</v>
      </c>
      <c r="B13" t="s">
        <v>66</v>
      </c>
      <c r="D13">
        <v>20</v>
      </c>
      <c r="F13" t="s">
        <v>66</v>
      </c>
    </row>
    <row r="14" spans="1:10" ht="14.45" hidden="1" x14ac:dyDescent="0.3">
      <c r="A14" t="s">
        <v>52</v>
      </c>
      <c r="B14">
        <v>1</v>
      </c>
      <c r="D14">
        <v>24</v>
      </c>
      <c r="E14">
        <v>4</v>
      </c>
    </row>
    <row r="15" spans="1:10" ht="14.45" hidden="1" x14ac:dyDescent="0.3">
      <c r="A15" t="s">
        <v>53</v>
      </c>
      <c r="B15">
        <v>15</v>
      </c>
      <c r="F15">
        <v>4</v>
      </c>
    </row>
    <row r="16" spans="1:10" ht="14.45" hidden="1" x14ac:dyDescent="0.3">
      <c r="A16" t="s">
        <v>69</v>
      </c>
      <c r="B16">
        <f>0.7*3.9*2.7</f>
        <v>7.3710000000000004</v>
      </c>
      <c r="F16">
        <f>5.5*5*2</f>
        <v>55</v>
      </c>
      <c r="G16">
        <f>3.37*2.12*0.54</f>
        <v>3.8579760000000007</v>
      </c>
      <c r="H16">
        <v>42</v>
      </c>
      <c r="I16">
        <f>7.4*3.7*1.5</f>
        <v>41.070000000000007</v>
      </c>
    </row>
    <row r="17" spans="1:10" ht="14.45" x14ac:dyDescent="0.3">
      <c r="A17" t="s">
        <v>117</v>
      </c>
      <c r="B17" t="s">
        <v>116</v>
      </c>
      <c r="C17" t="s">
        <v>116</v>
      </c>
      <c r="D17" t="s">
        <v>116</v>
      </c>
      <c r="E17" t="s">
        <v>116</v>
      </c>
      <c r="F17" t="s">
        <v>118</v>
      </c>
      <c r="G17" t="s">
        <v>116</v>
      </c>
      <c r="H17" t="s">
        <v>116</v>
      </c>
      <c r="I17" t="s">
        <v>118</v>
      </c>
      <c r="J17" t="s">
        <v>116</v>
      </c>
    </row>
    <row r="18" spans="1:10" ht="14.45" hidden="1" x14ac:dyDescent="0.3">
      <c r="A18" t="s">
        <v>60</v>
      </c>
      <c r="F18">
        <v>3</v>
      </c>
    </row>
    <row r="19" spans="1:10" ht="14.45" hidden="1" x14ac:dyDescent="0.3">
      <c r="A19" t="s">
        <v>71</v>
      </c>
      <c r="B19" t="s">
        <v>128</v>
      </c>
      <c r="D19" t="s">
        <v>115</v>
      </c>
      <c r="F19" t="s">
        <v>131</v>
      </c>
      <c r="G19" t="s">
        <v>131</v>
      </c>
      <c r="H19" t="s">
        <v>132</v>
      </c>
      <c r="I19" t="s">
        <v>132</v>
      </c>
      <c r="J19" t="s">
        <v>114</v>
      </c>
    </row>
    <row r="20" spans="1:10" ht="14.45" hidden="1" x14ac:dyDescent="0.3">
      <c r="A20" t="s">
        <v>70</v>
      </c>
    </row>
    <row r="21" spans="1:10" ht="14.45" hidden="1" x14ac:dyDescent="0.3">
      <c r="A21" t="s">
        <v>61</v>
      </c>
    </row>
    <row r="22" spans="1:10" ht="14.45" hidden="1" x14ac:dyDescent="0.3">
      <c r="A22" t="s">
        <v>62</v>
      </c>
    </row>
    <row r="23" spans="1:10" ht="14.45" hidden="1" x14ac:dyDescent="0.3">
      <c r="A23" t="s">
        <v>63</v>
      </c>
    </row>
    <row r="24" spans="1:10" ht="14.45" hidden="1" x14ac:dyDescent="0.3">
      <c r="A24" t="s">
        <v>64</v>
      </c>
      <c r="B24" t="e">
        <f>B22/(B22+B23)</f>
        <v>#DIV/0!</v>
      </c>
      <c r="D24" t="e">
        <f>D22/(D22+D23)</f>
        <v>#DIV/0!</v>
      </c>
      <c r="F24" t="e">
        <f>F22/(F22+F23)</f>
        <v>#DIV/0!</v>
      </c>
      <c r="H24" t="e">
        <f>H22/(H22+H23)</f>
        <v>#DIV/0!</v>
      </c>
      <c r="J24" t="e">
        <f>J22/(J22+J23)</f>
        <v>#DIV/0!</v>
      </c>
    </row>
    <row r="25" spans="1:10" ht="14.45" hidden="1" x14ac:dyDescent="0.3">
      <c r="A25" t="s">
        <v>65</v>
      </c>
    </row>
    <row r="26" spans="1:10" ht="14.45" x14ac:dyDescent="0.3">
      <c r="A26" t="s">
        <v>10</v>
      </c>
      <c r="B26">
        <v>3640</v>
      </c>
      <c r="C26">
        <v>7142</v>
      </c>
      <c r="D26">
        <v>1378914</v>
      </c>
      <c r="E26">
        <v>681332</v>
      </c>
      <c r="F26">
        <v>50000</v>
      </c>
      <c r="G26">
        <v>10000</v>
      </c>
      <c r="H26">
        <v>25000</v>
      </c>
      <c r="I26">
        <v>25000</v>
      </c>
      <c r="J26">
        <v>5000</v>
      </c>
    </row>
    <row r="27" spans="1:10" ht="14.45" hidden="1" x14ac:dyDescent="0.3">
      <c r="A27" t="s">
        <v>7</v>
      </c>
      <c r="F27">
        <v>44000</v>
      </c>
      <c r="G27">
        <v>11600</v>
      </c>
    </row>
    <row r="28" spans="1:10" ht="14.45" hidden="1" x14ac:dyDescent="0.3">
      <c r="J28">
        <v>20377</v>
      </c>
    </row>
    <row r="29" spans="1:10" ht="14.45" hidden="1" x14ac:dyDescent="0.3">
      <c r="B29" t="s">
        <v>129</v>
      </c>
      <c r="D29" s="3" t="s">
        <v>130</v>
      </c>
      <c r="E29" s="3"/>
      <c r="F29" t="s">
        <v>140</v>
      </c>
      <c r="G29" s="3" t="s">
        <v>139</v>
      </c>
      <c r="H29" s="3" t="s">
        <v>134</v>
      </c>
      <c r="I29" t="s">
        <v>133</v>
      </c>
      <c r="J29" t="s">
        <v>127</v>
      </c>
    </row>
    <row r="30" spans="1:10" ht="14.45" hidden="1" x14ac:dyDescent="0.3">
      <c r="D30" t="s">
        <v>108</v>
      </c>
      <c r="H30" t="s">
        <v>135</v>
      </c>
      <c r="J30" t="s">
        <v>109</v>
      </c>
    </row>
    <row r="31" spans="1:10" ht="14.45" hidden="1" x14ac:dyDescent="0.3"/>
    <row r="32" spans="1:10" ht="14.45" hidden="1" x14ac:dyDescent="0.3">
      <c r="H32" s="3" t="s">
        <v>110</v>
      </c>
      <c r="I32" s="3"/>
    </row>
  </sheetData>
  <hyperlinks>
    <hyperlink ref="H32" r:id="rId1"/>
    <hyperlink ref="H29" r:id="rId2"/>
    <hyperlink ref="D29" r:id="rId3"/>
    <hyperlink ref="G29" r:id="rId4"/>
  </hyperlinks>
  <pageMargins left="0.7" right="0.7" top="0.75" bottom="0.75" header="0.3" footer="0.3"/>
  <pageSetup scale="68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Q10" sqref="Q10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16" t="s">
        <v>178</v>
      </c>
      <c r="B1" s="16" t="s">
        <v>179</v>
      </c>
      <c r="P1" t="s">
        <v>182</v>
      </c>
      <c r="Q1" t="s">
        <v>183</v>
      </c>
    </row>
    <row r="2" spans="1:20" x14ac:dyDescent="0.25">
      <c r="A2">
        <v>3</v>
      </c>
      <c r="B2">
        <v>0</v>
      </c>
      <c r="P2" s="14">
        <f>(1-EXP($B$14*(A2-MIN($A$2:$A$12))^$B$15))/$B$16</f>
        <v>0</v>
      </c>
      <c r="Q2" s="14">
        <f>(P2-B2)^2</f>
        <v>0</v>
      </c>
    </row>
    <row r="3" spans="1:20" x14ac:dyDescent="0.25">
      <c r="A3">
        <v>5</v>
      </c>
      <c r="B3">
        <v>0.2</v>
      </c>
      <c r="P3" s="14">
        <f t="shared" ref="P3:P12" si="0">(1-EXP($B$14*(A3-MIN($A$2:$A$12))^$B$15))/$B$16</f>
        <v>0.27843405119085224</v>
      </c>
      <c r="Q3" s="14">
        <f t="shared" ref="Q3:Q12" si="1">(P3-B3)^2</f>
        <v>6.1519003862092279E-3</v>
      </c>
      <c r="S3" t="s">
        <v>185</v>
      </c>
      <c r="T3" t="s">
        <v>186</v>
      </c>
    </row>
    <row r="4" spans="1:20" x14ac:dyDescent="0.25">
      <c r="A4">
        <v>7</v>
      </c>
      <c r="B4">
        <v>0.4</v>
      </c>
      <c r="P4" s="14">
        <f t="shared" si="0"/>
        <v>0.43278483309780758</v>
      </c>
      <c r="Q4" s="14">
        <f t="shared" si="1"/>
        <v>1.0748452812510976E-3</v>
      </c>
      <c r="S4">
        <f>MIN(A2:A12)</f>
        <v>3</v>
      </c>
      <c r="T4">
        <f>IF(S4&lt;=MIN($A$2:$A$12),0,IF(S4&gt;=MAX($A$2:$A$12),1,(1/$B$16)*(1-EXP($B$14*(S4-MIN($A$2:$A$12))^$B$15))))</f>
        <v>0</v>
      </c>
    </row>
    <row r="5" spans="1:20" x14ac:dyDescent="0.25">
      <c r="A5">
        <v>8</v>
      </c>
      <c r="B5">
        <v>0.5</v>
      </c>
      <c r="P5" s="14">
        <f t="shared" si="0"/>
        <v>0.49211275983193897</v>
      </c>
      <c r="Q5" s="14">
        <f t="shared" si="1"/>
        <v>6.2208557468675346E-5</v>
      </c>
      <c r="S5">
        <f>S4+(MAX($A$2:$A$12)-$S$4)/50</f>
        <v>4.34</v>
      </c>
      <c r="T5">
        <f t="shared" ref="T5:T68" si="2">IF(S5&lt;=MIN($A$2:$A$12),0,IF(S5&gt;=MAX($A$2:$A$12),1,(1/$B$16)*(1-EXP($B$14*(S5-MIN($A$2:$A$12))^$B$15))))</f>
        <v>0.21116793416841864</v>
      </c>
    </row>
    <row r="6" spans="1:20" x14ac:dyDescent="0.25">
      <c r="A6">
        <v>9</v>
      </c>
      <c r="B6">
        <v>0.6</v>
      </c>
      <c r="P6" s="14">
        <f t="shared" si="0"/>
        <v>0.5432572843445197</v>
      </c>
      <c r="Q6" s="14">
        <f t="shared" si="1"/>
        <v>3.2197357799586871E-3</v>
      </c>
      <c r="S6">
        <f t="shared" ref="S6:S69" si="3">S5+(MAX($A$2:$A$12)-$S$4)/50</f>
        <v>5.68</v>
      </c>
      <c r="T6">
        <f t="shared" si="2"/>
        <v>0.33770165808509561</v>
      </c>
    </row>
    <row r="7" spans="1:20" x14ac:dyDescent="0.25">
      <c r="A7">
        <v>11</v>
      </c>
      <c r="B7">
        <v>0.7</v>
      </c>
      <c r="P7" s="14">
        <f t="shared" si="0"/>
        <v>0.62699638904071664</v>
      </c>
      <c r="Q7" s="14">
        <f t="shared" si="1"/>
        <v>5.3295272130943908E-3</v>
      </c>
      <c r="S7">
        <f t="shared" si="3"/>
        <v>7.02</v>
      </c>
      <c r="T7">
        <f t="shared" si="2"/>
        <v>0.43406525959174069</v>
      </c>
    </row>
    <row r="8" spans="1:20" x14ac:dyDescent="0.25">
      <c r="A8">
        <v>18</v>
      </c>
      <c r="B8">
        <v>0.8</v>
      </c>
      <c r="P8" s="14">
        <f t="shared" si="0"/>
        <v>0.80464387466440501</v>
      </c>
      <c r="Q8" s="14">
        <f t="shared" si="1"/>
        <v>2.1565571898702353E-5</v>
      </c>
      <c r="S8">
        <f t="shared" si="3"/>
        <v>8.36</v>
      </c>
      <c r="T8">
        <f t="shared" si="2"/>
        <v>0.51137102001175516</v>
      </c>
    </row>
    <row r="9" spans="1:20" x14ac:dyDescent="0.25">
      <c r="A9">
        <v>30</v>
      </c>
      <c r="B9">
        <v>0.85</v>
      </c>
      <c r="P9" s="14">
        <f t="shared" si="0"/>
        <v>0.92842508188289052</v>
      </c>
      <c r="Q9" s="14">
        <f t="shared" si="1"/>
        <v>6.150493468338087E-3</v>
      </c>
      <c r="S9">
        <f t="shared" si="3"/>
        <v>9.6999999999999993</v>
      </c>
      <c r="T9">
        <f t="shared" si="2"/>
        <v>0.57507304895048816</v>
      </c>
    </row>
    <row r="10" spans="1:20" x14ac:dyDescent="0.25">
      <c r="A10">
        <v>50</v>
      </c>
      <c r="B10">
        <v>0.9</v>
      </c>
      <c r="P10" s="14">
        <f t="shared" si="0"/>
        <v>0.98661822445640202</v>
      </c>
      <c r="Q10" s="14">
        <f t="shared" si="1"/>
        <v>7.5027168079796367E-3</v>
      </c>
      <c r="S10">
        <f t="shared" si="3"/>
        <v>11.04</v>
      </c>
      <c r="T10">
        <f t="shared" si="2"/>
        <v>0.62846366527654174</v>
      </c>
    </row>
    <row r="11" spans="1:20" x14ac:dyDescent="0.25">
      <c r="A11">
        <v>60</v>
      </c>
      <c r="B11">
        <v>0.95</v>
      </c>
      <c r="P11" s="14">
        <f t="shared" si="0"/>
        <v>0.99552919342831359</v>
      </c>
      <c r="Q11" s="14">
        <f t="shared" si="1"/>
        <v>2.0729074542327969E-3</v>
      </c>
      <c r="S11">
        <f t="shared" si="3"/>
        <v>12.379999999999999</v>
      </c>
      <c r="T11">
        <f t="shared" si="2"/>
        <v>0.67375038630443174</v>
      </c>
    </row>
    <row r="12" spans="1:20" x14ac:dyDescent="0.25">
      <c r="A12">
        <v>70</v>
      </c>
      <c r="B12">
        <v>1</v>
      </c>
      <c r="P12" s="14">
        <f t="shared" si="0"/>
        <v>1</v>
      </c>
      <c r="Q12" s="14">
        <f t="shared" si="1"/>
        <v>0</v>
      </c>
      <c r="S12">
        <f t="shared" si="3"/>
        <v>13.719999999999999</v>
      </c>
      <c r="T12">
        <f t="shared" si="2"/>
        <v>0.71251099640550308</v>
      </c>
    </row>
    <row r="13" spans="1:20" x14ac:dyDescent="0.25">
      <c r="S13">
        <f t="shared" si="3"/>
        <v>15.059999999999999</v>
      </c>
      <c r="T13">
        <f t="shared" si="2"/>
        <v>0.74592261030023244</v>
      </c>
    </row>
    <row r="14" spans="1:20" x14ac:dyDescent="0.25">
      <c r="A14" t="s">
        <v>180</v>
      </c>
      <c r="B14" s="15">
        <v>-0.18686280330860319</v>
      </c>
      <c r="O14" t="s">
        <v>184</v>
      </c>
      <c r="Q14" s="14">
        <f>SUM(Q2:Q12)</f>
        <v>3.1585900520431302E-2</v>
      </c>
      <c r="S14">
        <f t="shared" si="3"/>
        <v>16.399999999999999</v>
      </c>
      <c r="T14">
        <f t="shared" si="2"/>
        <v>0.77489083804522918</v>
      </c>
    </row>
    <row r="15" spans="1:20" x14ac:dyDescent="0.25">
      <c r="A15" t="s">
        <v>188</v>
      </c>
      <c r="B15" s="14">
        <v>0.79588890188204819</v>
      </c>
      <c r="S15">
        <f t="shared" si="3"/>
        <v>17.739999999999998</v>
      </c>
      <c r="T15">
        <f t="shared" si="2"/>
        <v>0.80012868480755261</v>
      </c>
    </row>
    <row r="16" spans="1:20" x14ac:dyDescent="0.25">
      <c r="A16" t="s">
        <v>181</v>
      </c>
      <c r="B16" s="14">
        <f>1-EXP($B$14*(MAX($A$2:$A$12)-MIN($A$2:$A$12))^$B$15)</f>
        <v>0.99504482662715121</v>
      </c>
      <c r="S16">
        <f t="shared" si="3"/>
        <v>19.079999999999998</v>
      </c>
      <c r="T16">
        <f t="shared" si="2"/>
        <v>0.82220769567595253</v>
      </c>
    </row>
    <row r="17" spans="19:20" x14ac:dyDescent="0.25">
      <c r="S17">
        <f t="shared" si="3"/>
        <v>20.419999999999998</v>
      </c>
      <c r="T17">
        <f t="shared" si="2"/>
        <v>0.84159266135082755</v>
      </c>
    </row>
    <row r="18" spans="19:20" x14ac:dyDescent="0.25">
      <c r="S18">
        <f t="shared" si="3"/>
        <v>21.759999999999998</v>
      </c>
      <c r="T18">
        <f t="shared" si="2"/>
        <v>0.85866603800437591</v>
      </c>
    </row>
    <row r="19" spans="19:20" x14ac:dyDescent="0.25">
      <c r="S19">
        <f t="shared" si="3"/>
        <v>23.099999999999998</v>
      </c>
      <c r="T19">
        <f t="shared" si="2"/>
        <v>0.87374564161846069</v>
      </c>
    </row>
    <row r="20" spans="19:20" x14ac:dyDescent="0.25">
      <c r="S20">
        <f t="shared" si="3"/>
        <v>24.439999999999998</v>
      </c>
      <c r="T20">
        <f t="shared" si="2"/>
        <v>0.88709778315344912</v>
      </c>
    </row>
    <row r="21" spans="19:20" x14ac:dyDescent="0.25">
      <c r="S21">
        <f t="shared" si="3"/>
        <v>25.779999999999998</v>
      </c>
      <c r="T21">
        <f t="shared" si="2"/>
        <v>0.89894721876790806</v>
      </c>
    </row>
    <row r="22" spans="19:20" x14ac:dyDescent="0.25">
      <c r="S22">
        <f t="shared" si="3"/>
        <v>27.119999999999997</v>
      </c>
      <c r="T22">
        <f t="shared" si="2"/>
        <v>0.90948481787498292</v>
      </c>
    </row>
    <row r="23" spans="19:20" x14ac:dyDescent="0.25">
      <c r="S23">
        <f t="shared" si="3"/>
        <v>28.459999999999997</v>
      </c>
      <c r="T23">
        <f t="shared" si="2"/>
        <v>0.91887356006090726</v>
      </c>
    </row>
    <row r="24" spans="19:20" x14ac:dyDescent="0.25">
      <c r="S24">
        <f t="shared" si="3"/>
        <v>29.799999999999997</v>
      </c>
      <c r="T24">
        <f t="shared" si="2"/>
        <v>0.92725328517303263</v>
      </c>
    </row>
    <row r="25" spans="19:20" x14ac:dyDescent="0.25">
      <c r="S25">
        <f t="shared" si="3"/>
        <v>31.139999999999997</v>
      </c>
      <c r="T25">
        <f t="shared" si="2"/>
        <v>0.93474449787072467</v>
      </c>
    </row>
    <row r="26" spans="19:20" x14ac:dyDescent="0.25">
      <c r="S26">
        <f t="shared" si="3"/>
        <v>32.479999999999997</v>
      </c>
      <c r="T26">
        <f t="shared" si="2"/>
        <v>0.94145144480479681</v>
      </c>
    </row>
    <row r="27" spans="19:20" x14ac:dyDescent="0.25">
      <c r="S27">
        <f t="shared" si="3"/>
        <v>33.82</v>
      </c>
      <c r="T27">
        <f t="shared" si="2"/>
        <v>0.94746462514660879</v>
      </c>
    </row>
    <row r="28" spans="19:20" x14ac:dyDescent="0.25">
      <c r="S28">
        <f t="shared" si="3"/>
        <v>35.160000000000004</v>
      </c>
      <c r="T28">
        <f t="shared" si="2"/>
        <v>0.95286285469605514</v>
      </c>
    </row>
    <row r="29" spans="19:20" x14ac:dyDescent="0.25">
      <c r="S29">
        <f t="shared" si="3"/>
        <v>36.500000000000007</v>
      </c>
      <c r="T29">
        <f t="shared" si="2"/>
        <v>0.95771497474553957</v>
      </c>
    </row>
    <row r="30" spans="19:20" x14ac:dyDescent="0.25">
      <c r="S30">
        <f t="shared" si="3"/>
        <v>37.840000000000011</v>
      </c>
      <c r="T30">
        <f t="shared" si="2"/>
        <v>0.96208127569887192</v>
      </c>
    </row>
    <row r="31" spans="19:20" x14ac:dyDescent="0.25">
      <c r="S31">
        <f t="shared" si="3"/>
        <v>39.180000000000014</v>
      </c>
      <c r="T31">
        <f t="shared" si="2"/>
        <v>0.9660146897829982</v>
      </c>
    </row>
    <row r="32" spans="19:20" x14ac:dyDescent="0.25">
      <c r="S32">
        <f t="shared" si="3"/>
        <v>40.520000000000017</v>
      </c>
      <c r="T32">
        <f t="shared" si="2"/>
        <v>0.96956179545808996</v>
      </c>
    </row>
    <row r="33" spans="19:20" x14ac:dyDescent="0.25">
      <c r="S33">
        <f t="shared" si="3"/>
        <v>41.860000000000021</v>
      </c>
      <c r="T33">
        <f t="shared" si="2"/>
        <v>0.9727636672379828</v>
      </c>
    </row>
    <row r="34" spans="19:20" x14ac:dyDescent="0.25">
      <c r="S34">
        <f t="shared" si="3"/>
        <v>43.200000000000024</v>
      </c>
      <c r="T34">
        <f t="shared" si="2"/>
        <v>0.97565659781843628</v>
      </c>
    </row>
    <row r="35" spans="19:20" x14ac:dyDescent="0.25">
      <c r="S35">
        <f t="shared" si="3"/>
        <v>44.540000000000028</v>
      </c>
      <c r="T35">
        <f t="shared" si="2"/>
        <v>0.97827271413747952</v>
      </c>
    </row>
    <row r="36" spans="19:20" x14ac:dyDescent="0.25">
      <c r="S36">
        <f t="shared" si="3"/>
        <v>45.880000000000031</v>
      </c>
      <c r="T36">
        <f t="shared" si="2"/>
        <v>0.98064050487453158</v>
      </c>
    </row>
    <row r="37" spans="19:20" x14ac:dyDescent="0.25">
      <c r="S37">
        <f t="shared" si="3"/>
        <v>47.220000000000034</v>
      </c>
      <c r="T37">
        <f t="shared" si="2"/>
        <v>0.98278527365289126</v>
      </c>
    </row>
    <row r="38" spans="19:20" x14ac:dyDescent="0.25">
      <c r="S38">
        <f t="shared" si="3"/>
        <v>48.560000000000038</v>
      </c>
      <c r="T38">
        <f t="shared" si="2"/>
        <v>0.98472952963772098</v>
      </c>
    </row>
    <row r="39" spans="19:20" x14ac:dyDescent="0.25">
      <c r="S39">
        <f t="shared" si="3"/>
        <v>49.900000000000041</v>
      </c>
      <c r="T39">
        <f t="shared" si="2"/>
        <v>0.98649332516592936</v>
      </c>
    </row>
    <row r="40" spans="19:20" x14ac:dyDescent="0.25">
      <c r="S40">
        <f t="shared" si="3"/>
        <v>51.240000000000045</v>
      </c>
      <c r="T40">
        <f t="shared" si="2"/>
        <v>0.98809454839068944</v>
      </c>
    </row>
    <row r="41" spans="19:20" x14ac:dyDescent="0.25">
      <c r="S41">
        <f t="shared" si="3"/>
        <v>52.580000000000048</v>
      </c>
      <c r="T41">
        <f t="shared" si="2"/>
        <v>0.98954917758490268</v>
      </c>
    </row>
    <row r="42" spans="19:20" x14ac:dyDescent="0.25">
      <c r="S42">
        <f t="shared" si="3"/>
        <v>53.920000000000051</v>
      </c>
      <c r="T42">
        <f t="shared" si="2"/>
        <v>0.99087150265840696</v>
      </c>
    </row>
    <row r="43" spans="19:20" x14ac:dyDescent="0.25">
      <c r="S43">
        <f t="shared" si="3"/>
        <v>55.260000000000055</v>
      </c>
      <c r="T43">
        <f t="shared" si="2"/>
        <v>0.99207431855210748</v>
      </c>
    </row>
    <row r="44" spans="19:20" x14ac:dyDescent="0.25">
      <c r="S44">
        <f t="shared" si="3"/>
        <v>56.600000000000058</v>
      </c>
      <c r="T44">
        <f t="shared" si="2"/>
        <v>0.9931690944388688</v>
      </c>
    </row>
    <row r="45" spans="19:20" x14ac:dyDescent="0.25">
      <c r="S45">
        <f t="shared" si="3"/>
        <v>57.940000000000062</v>
      </c>
      <c r="T45">
        <f t="shared" si="2"/>
        <v>0.99416612205502708</v>
      </c>
    </row>
    <row r="46" spans="19:20" x14ac:dyDescent="0.25">
      <c r="S46">
        <f t="shared" si="3"/>
        <v>59.280000000000065</v>
      </c>
      <c r="T46">
        <f t="shared" si="2"/>
        <v>0.99507464598344231</v>
      </c>
    </row>
    <row r="47" spans="19:20" x14ac:dyDescent="0.25">
      <c r="S47">
        <f t="shared" si="3"/>
        <v>60.620000000000068</v>
      </c>
      <c r="T47">
        <f t="shared" si="2"/>
        <v>0.9959029782898452</v>
      </c>
    </row>
    <row r="48" spans="19:20" x14ac:dyDescent="0.25">
      <c r="S48">
        <f t="shared" si="3"/>
        <v>61.960000000000072</v>
      </c>
      <c r="T48">
        <f t="shared" si="2"/>
        <v>0.99665859956356073</v>
      </c>
    </row>
    <row r="49" spans="19:20" x14ac:dyDescent="0.25">
      <c r="S49">
        <f t="shared" si="3"/>
        <v>63.300000000000075</v>
      </c>
      <c r="T49">
        <f t="shared" si="2"/>
        <v>0.99734824811919964</v>
      </c>
    </row>
    <row r="50" spans="19:20" x14ac:dyDescent="0.25">
      <c r="S50">
        <f t="shared" si="3"/>
        <v>64.640000000000072</v>
      </c>
      <c r="T50">
        <f t="shared" si="2"/>
        <v>0.99797799886778282</v>
      </c>
    </row>
    <row r="51" spans="19:20" x14ac:dyDescent="0.25">
      <c r="S51">
        <f t="shared" si="3"/>
        <v>65.980000000000075</v>
      </c>
      <c r="T51">
        <f t="shared" si="2"/>
        <v>0.99855333315597861</v>
      </c>
    </row>
    <row r="52" spans="19:20" x14ac:dyDescent="0.25">
      <c r="S52">
        <f t="shared" si="3"/>
        <v>67.320000000000078</v>
      </c>
      <c r="T52">
        <f t="shared" si="2"/>
        <v>0.9990792006942516</v>
      </c>
    </row>
    <row r="53" spans="19:20" x14ac:dyDescent="0.25">
      <c r="S53">
        <f t="shared" si="3"/>
        <v>68.660000000000082</v>
      </c>
      <c r="T53">
        <f t="shared" si="2"/>
        <v>0.99956007454340912</v>
      </c>
    </row>
    <row r="54" spans="19:20" x14ac:dyDescent="0.25">
      <c r="S54">
        <f t="shared" si="3"/>
        <v>70.000000000000085</v>
      </c>
      <c r="T54">
        <f t="shared" si="2"/>
        <v>1</v>
      </c>
    </row>
    <row r="55" spans="19:20" x14ac:dyDescent="0.25">
      <c r="S55">
        <f t="shared" si="3"/>
        <v>71.340000000000089</v>
      </c>
      <c r="T55">
        <f t="shared" si="2"/>
        <v>1</v>
      </c>
    </row>
    <row r="56" spans="19:20" x14ac:dyDescent="0.25">
      <c r="S56">
        <f t="shared" si="3"/>
        <v>72.680000000000092</v>
      </c>
      <c r="T56">
        <f t="shared" si="2"/>
        <v>1</v>
      </c>
    </row>
    <row r="57" spans="19:20" x14ac:dyDescent="0.25">
      <c r="S57">
        <f t="shared" si="3"/>
        <v>74.020000000000095</v>
      </c>
      <c r="T57">
        <f t="shared" si="2"/>
        <v>1</v>
      </c>
    </row>
    <row r="58" spans="19:20" x14ac:dyDescent="0.25">
      <c r="S58">
        <f t="shared" si="3"/>
        <v>75.360000000000099</v>
      </c>
      <c r="T58">
        <f t="shared" si="2"/>
        <v>1</v>
      </c>
    </row>
    <row r="59" spans="19:20" x14ac:dyDescent="0.25">
      <c r="S59">
        <f t="shared" si="3"/>
        <v>76.700000000000102</v>
      </c>
      <c r="T59">
        <f t="shared" si="2"/>
        <v>1</v>
      </c>
    </row>
    <row r="60" spans="19:20" x14ac:dyDescent="0.25">
      <c r="S60">
        <f t="shared" si="3"/>
        <v>78.040000000000106</v>
      </c>
      <c r="T60">
        <f t="shared" si="2"/>
        <v>1</v>
      </c>
    </row>
    <row r="61" spans="19:20" x14ac:dyDescent="0.25">
      <c r="S61">
        <f t="shared" si="3"/>
        <v>79.380000000000109</v>
      </c>
      <c r="T61">
        <f t="shared" si="2"/>
        <v>1</v>
      </c>
    </row>
    <row r="62" spans="19:20" x14ac:dyDescent="0.25">
      <c r="S62">
        <f t="shared" si="3"/>
        <v>80.720000000000113</v>
      </c>
      <c r="T62">
        <f t="shared" si="2"/>
        <v>1</v>
      </c>
    </row>
    <row r="63" spans="19:20" x14ac:dyDescent="0.25">
      <c r="S63">
        <f t="shared" si="3"/>
        <v>82.060000000000116</v>
      </c>
      <c r="T63">
        <f t="shared" si="2"/>
        <v>1</v>
      </c>
    </row>
    <row r="64" spans="19:20" x14ac:dyDescent="0.25">
      <c r="S64">
        <f t="shared" si="3"/>
        <v>83.400000000000119</v>
      </c>
      <c r="T64">
        <f t="shared" si="2"/>
        <v>1</v>
      </c>
    </row>
    <row r="65" spans="19:20" x14ac:dyDescent="0.25">
      <c r="S65">
        <f t="shared" si="3"/>
        <v>84.740000000000123</v>
      </c>
      <c r="T65">
        <f t="shared" si="2"/>
        <v>1</v>
      </c>
    </row>
    <row r="66" spans="19:20" x14ac:dyDescent="0.25">
      <c r="S66">
        <f t="shared" si="3"/>
        <v>86.080000000000126</v>
      </c>
      <c r="T66">
        <f t="shared" si="2"/>
        <v>1</v>
      </c>
    </row>
    <row r="67" spans="19:20" x14ac:dyDescent="0.25">
      <c r="S67">
        <f t="shared" si="3"/>
        <v>87.42000000000013</v>
      </c>
      <c r="T67">
        <f t="shared" si="2"/>
        <v>1</v>
      </c>
    </row>
    <row r="68" spans="19:20" x14ac:dyDescent="0.25">
      <c r="S68">
        <f t="shared" si="3"/>
        <v>88.760000000000133</v>
      </c>
      <c r="T68">
        <f t="shared" si="2"/>
        <v>1</v>
      </c>
    </row>
    <row r="69" spans="19:20" x14ac:dyDescent="0.25">
      <c r="S69">
        <f t="shared" si="3"/>
        <v>90.100000000000136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91.44000000000014</v>
      </c>
      <c r="T70">
        <f t="shared" si="4"/>
        <v>1</v>
      </c>
    </row>
    <row r="71" spans="19:20" x14ac:dyDescent="0.25">
      <c r="S71">
        <f t="shared" si="5"/>
        <v>92.780000000000143</v>
      </c>
      <c r="T71">
        <f t="shared" si="4"/>
        <v>1</v>
      </c>
    </row>
    <row r="72" spans="19:20" x14ac:dyDescent="0.25">
      <c r="S72">
        <f t="shared" si="5"/>
        <v>94.120000000000147</v>
      </c>
      <c r="T72">
        <f t="shared" si="4"/>
        <v>1</v>
      </c>
    </row>
    <row r="73" spans="19:20" x14ac:dyDescent="0.25">
      <c r="S73">
        <f t="shared" si="5"/>
        <v>95.46000000000015</v>
      </c>
      <c r="T73">
        <f t="shared" si="4"/>
        <v>1</v>
      </c>
    </row>
    <row r="74" spans="19:20" x14ac:dyDescent="0.25">
      <c r="S74">
        <f t="shared" si="5"/>
        <v>96.800000000000153</v>
      </c>
      <c r="T74">
        <f t="shared" si="4"/>
        <v>1</v>
      </c>
    </row>
    <row r="75" spans="19:20" x14ac:dyDescent="0.25">
      <c r="S75">
        <f t="shared" si="5"/>
        <v>98.140000000000157</v>
      </c>
      <c r="T75">
        <f t="shared" si="4"/>
        <v>1</v>
      </c>
    </row>
    <row r="76" spans="19:20" x14ac:dyDescent="0.25">
      <c r="S76">
        <f t="shared" si="5"/>
        <v>99.48000000000016</v>
      </c>
      <c r="T76">
        <f t="shared" si="4"/>
        <v>1</v>
      </c>
    </row>
    <row r="77" spans="19:20" x14ac:dyDescent="0.25">
      <c r="S77">
        <f t="shared" si="5"/>
        <v>100.82000000000016</v>
      </c>
      <c r="T77">
        <f t="shared" si="4"/>
        <v>1</v>
      </c>
    </row>
    <row r="78" spans="19:20" x14ac:dyDescent="0.25">
      <c r="S78">
        <f t="shared" si="5"/>
        <v>102.16000000000017</v>
      </c>
      <c r="T78">
        <f t="shared" si="4"/>
        <v>1</v>
      </c>
    </row>
    <row r="79" spans="19:20" x14ac:dyDescent="0.25">
      <c r="S79">
        <f t="shared" si="5"/>
        <v>103.50000000000017</v>
      </c>
      <c r="T79">
        <f t="shared" si="4"/>
        <v>1</v>
      </c>
    </row>
    <row r="80" spans="19:20" x14ac:dyDescent="0.25">
      <c r="S80">
        <f t="shared" si="5"/>
        <v>104.84000000000017</v>
      </c>
      <c r="T80">
        <f t="shared" si="4"/>
        <v>1</v>
      </c>
    </row>
    <row r="81" spans="19:20" x14ac:dyDescent="0.25">
      <c r="S81">
        <f t="shared" si="5"/>
        <v>106.18000000000018</v>
      </c>
      <c r="T81">
        <f t="shared" si="4"/>
        <v>1</v>
      </c>
    </row>
    <row r="82" spans="19:20" x14ac:dyDescent="0.25">
      <c r="S82">
        <f t="shared" si="5"/>
        <v>107.52000000000018</v>
      </c>
      <c r="T82">
        <f t="shared" si="4"/>
        <v>1</v>
      </c>
    </row>
    <row r="83" spans="19:20" x14ac:dyDescent="0.25">
      <c r="S83">
        <f t="shared" si="5"/>
        <v>108.86000000000018</v>
      </c>
      <c r="T83">
        <f t="shared" si="4"/>
        <v>1</v>
      </c>
    </row>
    <row r="84" spans="19:20" x14ac:dyDescent="0.25">
      <c r="S84">
        <f t="shared" si="5"/>
        <v>110.20000000000019</v>
      </c>
      <c r="T84">
        <f t="shared" si="4"/>
        <v>1</v>
      </c>
    </row>
    <row r="85" spans="19:20" x14ac:dyDescent="0.25">
      <c r="S85">
        <f t="shared" si="5"/>
        <v>111.54000000000019</v>
      </c>
      <c r="T85">
        <f t="shared" si="4"/>
        <v>1</v>
      </c>
    </row>
    <row r="86" spans="19:20" x14ac:dyDescent="0.25">
      <c r="S86">
        <f t="shared" si="5"/>
        <v>112.88000000000019</v>
      </c>
      <c r="T86">
        <f t="shared" si="4"/>
        <v>1</v>
      </c>
    </row>
    <row r="87" spans="19:20" x14ac:dyDescent="0.25">
      <c r="S87">
        <f t="shared" si="5"/>
        <v>114.2200000000002</v>
      </c>
      <c r="T87">
        <f t="shared" si="4"/>
        <v>1</v>
      </c>
    </row>
    <row r="88" spans="19:20" x14ac:dyDescent="0.25">
      <c r="S88">
        <f t="shared" si="5"/>
        <v>115.5600000000002</v>
      </c>
      <c r="T88">
        <f t="shared" si="4"/>
        <v>1</v>
      </c>
    </row>
    <row r="89" spans="19:20" x14ac:dyDescent="0.25">
      <c r="S89">
        <f t="shared" si="5"/>
        <v>116.9000000000002</v>
      </c>
      <c r="T89">
        <f t="shared" si="4"/>
        <v>1</v>
      </c>
    </row>
    <row r="90" spans="19:20" x14ac:dyDescent="0.25">
      <c r="S90">
        <f t="shared" si="5"/>
        <v>118.24000000000021</v>
      </c>
      <c r="T90">
        <f t="shared" si="4"/>
        <v>1</v>
      </c>
    </row>
    <row r="91" spans="19:20" x14ac:dyDescent="0.25">
      <c r="S91">
        <f t="shared" si="5"/>
        <v>119.58000000000021</v>
      </c>
      <c r="T91">
        <f t="shared" si="4"/>
        <v>1</v>
      </c>
    </row>
    <row r="92" spans="19:20" x14ac:dyDescent="0.25">
      <c r="S92">
        <f t="shared" si="5"/>
        <v>120.92000000000021</v>
      </c>
      <c r="T92">
        <f t="shared" si="4"/>
        <v>1</v>
      </c>
    </row>
    <row r="93" spans="19:20" x14ac:dyDescent="0.25">
      <c r="S93">
        <f t="shared" si="5"/>
        <v>122.26000000000022</v>
      </c>
      <c r="T93">
        <f t="shared" si="4"/>
        <v>1</v>
      </c>
    </row>
    <row r="94" spans="19:20" x14ac:dyDescent="0.25">
      <c r="S94">
        <f t="shared" si="5"/>
        <v>123.60000000000022</v>
      </c>
      <c r="T94">
        <f t="shared" si="4"/>
        <v>1</v>
      </c>
    </row>
    <row r="95" spans="19:20" x14ac:dyDescent="0.25">
      <c r="S95">
        <f t="shared" si="5"/>
        <v>124.94000000000023</v>
      </c>
      <c r="T95">
        <f t="shared" si="4"/>
        <v>1</v>
      </c>
    </row>
    <row r="96" spans="19:20" x14ac:dyDescent="0.25">
      <c r="S96">
        <f t="shared" si="5"/>
        <v>126.28000000000023</v>
      </c>
      <c r="T96">
        <f t="shared" si="4"/>
        <v>1</v>
      </c>
    </row>
    <row r="97" spans="19:20" x14ac:dyDescent="0.25">
      <c r="S97">
        <f t="shared" si="5"/>
        <v>127.62000000000023</v>
      </c>
      <c r="T97">
        <f t="shared" si="4"/>
        <v>1</v>
      </c>
    </row>
    <row r="98" spans="19:20" x14ac:dyDescent="0.25">
      <c r="S98">
        <f t="shared" si="5"/>
        <v>128.96000000000024</v>
      </c>
      <c r="T98">
        <f t="shared" si="4"/>
        <v>1</v>
      </c>
    </row>
    <row r="99" spans="19:20" x14ac:dyDescent="0.25">
      <c r="S99">
        <f t="shared" si="5"/>
        <v>130.30000000000024</v>
      </c>
      <c r="T99">
        <f t="shared" si="4"/>
        <v>1</v>
      </c>
    </row>
    <row r="100" spans="19:20" x14ac:dyDescent="0.25">
      <c r="S100">
        <f t="shared" si="5"/>
        <v>131.64000000000024</v>
      </c>
      <c r="T100">
        <f t="shared" si="4"/>
        <v>1</v>
      </c>
    </row>
    <row r="101" spans="19:20" x14ac:dyDescent="0.25">
      <c r="S101">
        <f t="shared" si="5"/>
        <v>132.98000000000025</v>
      </c>
      <c r="T101">
        <f t="shared" si="4"/>
        <v>1</v>
      </c>
    </row>
    <row r="102" spans="19:20" x14ac:dyDescent="0.25">
      <c r="S102">
        <f t="shared" si="5"/>
        <v>134.32000000000025</v>
      </c>
      <c r="T102">
        <f t="shared" si="4"/>
        <v>1</v>
      </c>
    </row>
    <row r="103" spans="19:20" x14ac:dyDescent="0.25">
      <c r="S103">
        <f t="shared" si="5"/>
        <v>135.66000000000025</v>
      </c>
      <c r="T103">
        <f t="shared" si="4"/>
        <v>1</v>
      </c>
    </row>
    <row r="104" spans="19:20" x14ac:dyDescent="0.25">
      <c r="S104">
        <f t="shared" si="5"/>
        <v>137.00000000000026</v>
      </c>
      <c r="T104">
        <f t="shared" si="4"/>
        <v>1</v>
      </c>
    </row>
    <row r="105" spans="19:20" x14ac:dyDescent="0.25">
      <c r="S105">
        <f t="shared" si="5"/>
        <v>138.34000000000026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15" sqref="P15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16" t="s">
        <v>187</v>
      </c>
      <c r="B1" s="16" t="s">
        <v>179</v>
      </c>
      <c r="P1" t="s">
        <v>182</v>
      </c>
      <c r="Q1" t="s">
        <v>183</v>
      </c>
    </row>
    <row r="2" spans="1:20" x14ac:dyDescent="0.25">
      <c r="A2">
        <v>20000</v>
      </c>
      <c r="B2">
        <v>0</v>
      </c>
      <c r="P2" s="14">
        <f>(1-EXP($B$14*(A2-MIN($A$2:$A$12))^$B$15))/$B$16</f>
        <v>0</v>
      </c>
      <c r="Q2" s="14">
        <f>(P2-B2)^2</f>
        <v>0</v>
      </c>
    </row>
    <row r="3" spans="1:20" x14ac:dyDescent="0.25">
      <c r="A3">
        <v>23000</v>
      </c>
      <c r="B3">
        <v>0.2</v>
      </c>
      <c r="P3" s="14">
        <f t="shared" ref="P3:P12" si="0">(1-EXP($B$14*(A3-MIN($A$2:$A$12))^$B$15))/$B$16</f>
        <v>0.21784631947851357</v>
      </c>
      <c r="Q3" s="14">
        <f t="shared" ref="Q3:Q12" si="1">(P3-B3)^2</f>
        <v>3.1849111892917256E-4</v>
      </c>
      <c r="S3" t="s">
        <v>185</v>
      </c>
      <c r="T3" t="s">
        <v>186</v>
      </c>
    </row>
    <row r="4" spans="1:20" x14ac:dyDescent="0.25">
      <c r="A4">
        <v>26000</v>
      </c>
      <c r="B4">
        <v>0.4</v>
      </c>
      <c r="P4" s="14">
        <f t="shared" si="0"/>
        <v>0.39620521476746223</v>
      </c>
      <c r="Q4" s="14">
        <f t="shared" si="1"/>
        <v>1.4400394961086886E-5</v>
      </c>
      <c r="S4">
        <f>MIN(A2:A12)</f>
        <v>20000</v>
      </c>
      <c r="T4">
        <f>IF(S4&lt;=MIN($A$2:$A$12),0,IF(S4&gt;=MAX($A$2:$A$12),1,(1/$B$16)*(1-EXP($B$14*(S4-MIN($A$2:$A$12))^$B$15))))</f>
        <v>0</v>
      </c>
    </row>
    <row r="5" spans="1:20" x14ac:dyDescent="0.25">
      <c r="A5">
        <v>27500</v>
      </c>
      <c r="B5">
        <v>0.5</v>
      </c>
      <c r="P5" s="14">
        <f t="shared" si="0"/>
        <v>0.47209829377159862</v>
      </c>
      <c r="Q5" s="14">
        <f t="shared" si="1"/>
        <v>7.7850521045601229E-4</v>
      </c>
      <c r="S5">
        <f>S4+(MAX($A$2:$A$12)-$S$4)/50</f>
        <v>20600</v>
      </c>
      <c r="T5">
        <f t="shared" ref="T5:T68" si="2">IF(S5&lt;=MIN($A$2:$A$12),0,IF(S5&gt;=MAX($A$2:$A$12),1,(1/$B$16)*(1-EXP($B$14*(S5-MIN($A$2:$A$12))^$B$15))))</f>
        <v>4.6449880538904122E-2</v>
      </c>
    </row>
    <row r="6" spans="1:20" x14ac:dyDescent="0.25">
      <c r="A6">
        <v>31000</v>
      </c>
      <c r="B6">
        <v>0.6</v>
      </c>
      <c r="P6" s="14">
        <f t="shared" si="0"/>
        <v>0.62022547592370769</v>
      </c>
      <c r="Q6" s="14">
        <f t="shared" si="1"/>
        <v>4.090698763404804E-4</v>
      </c>
      <c r="S6">
        <f t="shared" ref="S6:S69" si="3">S5+(MAX($A$2:$A$12)-$S$4)/50</f>
        <v>21200</v>
      </c>
      <c r="T6">
        <f t="shared" si="2"/>
        <v>9.1766584060012577E-2</v>
      </c>
    </row>
    <row r="7" spans="1:20" x14ac:dyDescent="0.25">
      <c r="A7">
        <v>33000</v>
      </c>
      <c r="B7">
        <v>0.7</v>
      </c>
      <c r="P7" s="14">
        <f t="shared" si="0"/>
        <v>0.68936617457960725</v>
      </c>
      <c r="Q7" s="14">
        <f t="shared" si="1"/>
        <v>1.1307824307139011E-4</v>
      </c>
      <c r="S7">
        <f t="shared" si="3"/>
        <v>21800</v>
      </c>
      <c r="T7">
        <f t="shared" si="2"/>
        <v>0.13546281972781399</v>
      </c>
    </row>
    <row r="8" spans="1:20" x14ac:dyDescent="0.25">
      <c r="A8">
        <v>38000</v>
      </c>
      <c r="B8">
        <v>0.8</v>
      </c>
      <c r="P8" s="14">
        <f t="shared" si="0"/>
        <v>0.82364374557199593</v>
      </c>
      <c r="Q8" s="14">
        <f t="shared" si="1"/>
        <v>5.5902670467327525E-4</v>
      </c>
      <c r="S8">
        <f t="shared" si="3"/>
        <v>22400</v>
      </c>
      <c r="T8">
        <f t="shared" si="2"/>
        <v>0.17748560307975358</v>
      </c>
    </row>
    <row r="9" spans="1:20" x14ac:dyDescent="0.25">
      <c r="A9">
        <v>39500</v>
      </c>
      <c r="B9">
        <v>0.85</v>
      </c>
      <c r="P9" s="14">
        <f t="shared" si="0"/>
        <v>0.85516865716606216</v>
      </c>
      <c r="Q9" s="14">
        <f t="shared" si="1"/>
        <v>2.6715016900285978E-5</v>
      </c>
      <c r="S9">
        <f t="shared" si="3"/>
        <v>23000</v>
      </c>
      <c r="T9">
        <f t="shared" si="2"/>
        <v>0.21784631947851357</v>
      </c>
    </row>
    <row r="10" spans="1:20" x14ac:dyDescent="0.25">
      <c r="A10">
        <v>41000</v>
      </c>
      <c r="B10">
        <v>0.9</v>
      </c>
      <c r="P10" s="14">
        <f t="shared" si="0"/>
        <v>0.88337694032520431</v>
      </c>
      <c r="Q10" s="14">
        <f t="shared" si="1"/>
        <v>2.7632611295181942E-4</v>
      </c>
      <c r="S10">
        <f t="shared" si="3"/>
        <v>23600</v>
      </c>
      <c r="T10">
        <f t="shared" si="2"/>
        <v>0.25657974573888259</v>
      </c>
    </row>
    <row r="11" spans="1:20" x14ac:dyDescent="0.25">
      <c r="A11">
        <v>45000</v>
      </c>
      <c r="B11">
        <v>0.95</v>
      </c>
      <c r="P11" s="14">
        <f t="shared" si="0"/>
        <v>0.94489420575859395</v>
      </c>
      <c r="Q11" s="14">
        <f t="shared" si="1"/>
        <v>2.6069134835574703E-5</v>
      </c>
      <c r="S11">
        <f t="shared" si="3"/>
        <v>24200</v>
      </c>
      <c r="T11">
        <f t="shared" si="2"/>
        <v>0.293731131611698</v>
      </c>
    </row>
    <row r="12" spans="1:20" x14ac:dyDescent="0.25">
      <c r="A12">
        <v>50000</v>
      </c>
      <c r="B12">
        <v>1</v>
      </c>
      <c r="P12" s="14">
        <f t="shared" si="0"/>
        <v>1</v>
      </c>
      <c r="Q12" s="14">
        <f t="shared" si="1"/>
        <v>0</v>
      </c>
      <c r="S12">
        <f t="shared" si="3"/>
        <v>24800</v>
      </c>
      <c r="T12">
        <f t="shared" si="2"/>
        <v>0.32935071780851671</v>
      </c>
    </row>
    <row r="13" spans="1:20" x14ac:dyDescent="0.25">
      <c r="S13">
        <f t="shared" si="3"/>
        <v>25400</v>
      </c>
      <c r="T13">
        <f t="shared" si="2"/>
        <v>0.36349099954507247</v>
      </c>
    </row>
    <row r="14" spans="1:20" x14ac:dyDescent="0.25">
      <c r="A14" t="s">
        <v>180</v>
      </c>
      <c r="B14" s="15">
        <v>-6.4890197460029105E-5</v>
      </c>
      <c r="O14" t="s">
        <v>184</v>
      </c>
      <c r="Q14" s="14">
        <f>SUM(Q2:Q12)</f>
        <v>2.5216818131190972E-3</v>
      </c>
      <c r="S14">
        <f t="shared" si="3"/>
        <v>26000</v>
      </c>
      <c r="T14">
        <f t="shared" si="2"/>
        <v>0.39620521476746223</v>
      </c>
    </row>
    <row r="15" spans="1:20" x14ac:dyDescent="0.25">
      <c r="A15" t="s">
        <v>188</v>
      </c>
      <c r="B15" s="14">
        <v>1.0130476181996555</v>
      </c>
      <c r="S15">
        <f t="shared" si="3"/>
        <v>26600</v>
      </c>
      <c r="T15">
        <f t="shared" si="2"/>
        <v>0.42754645171373251</v>
      </c>
    </row>
    <row r="16" spans="1:20" x14ac:dyDescent="0.25">
      <c r="A16" t="s">
        <v>181</v>
      </c>
      <c r="B16" s="14">
        <f>1-EXP($B$14*(MAX($A$2:$A$12)-MIN($A$2:$A$12))^$B$15)</f>
        <v>0.89214623390232006</v>
      </c>
      <c r="S16">
        <f t="shared" si="3"/>
        <v>27200</v>
      </c>
      <c r="T16">
        <f t="shared" si="2"/>
        <v>0.45756709913087884</v>
      </c>
    </row>
    <row r="17" spans="19:20" x14ac:dyDescent="0.25">
      <c r="S17">
        <f t="shared" si="3"/>
        <v>27800</v>
      </c>
      <c r="T17">
        <f t="shared" si="2"/>
        <v>0.48631849927268994</v>
      </c>
    </row>
    <row r="18" spans="19:20" x14ac:dyDescent="0.25">
      <c r="S18">
        <f t="shared" si="3"/>
        <v>28400</v>
      </c>
      <c r="T18">
        <f t="shared" si="2"/>
        <v>0.51385072728695891</v>
      </c>
    </row>
    <row r="19" spans="19:20" x14ac:dyDescent="0.25">
      <c r="S19">
        <f t="shared" si="3"/>
        <v>29000</v>
      </c>
      <c r="T19">
        <f t="shared" si="2"/>
        <v>0.540212452637994</v>
      </c>
    </row>
    <row r="20" spans="19:20" x14ac:dyDescent="0.25">
      <c r="S20">
        <f t="shared" si="3"/>
        <v>29600</v>
      </c>
      <c r="T20">
        <f t="shared" si="2"/>
        <v>0.56545085549946938</v>
      </c>
    </row>
    <row r="21" spans="19:20" x14ac:dyDescent="0.25">
      <c r="S21">
        <f t="shared" si="3"/>
        <v>30200</v>
      </c>
      <c r="T21">
        <f t="shared" si="2"/>
        <v>0.58961158090981292</v>
      </c>
    </row>
    <row r="22" spans="19:20" x14ac:dyDescent="0.25">
      <c r="S22">
        <f t="shared" si="3"/>
        <v>30800</v>
      </c>
      <c r="T22">
        <f t="shared" si="2"/>
        <v>0.61273871936643265</v>
      </c>
    </row>
    <row r="23" spans="19:20" x14ac:dyDescent="0.25">
      <c r="S23">
        <f t="shared" si="3"/>
        <v>31400</v>
      </c>
      <c r="T23">
        <f t="shared" si="2"/>
        <v>0.63487480618710845</v>
      </c>
    </row>
    <row r="24" spans="19:20" x14ac:dyDescent="0.25">
      <c r="S24">
        <f t="shared" si="3"/>
        <v>32000</v>
      </c>
      <c r="T24">
        <f t="shared" si="2"/>
        <v>0.65606083431091522</v>
      </c>
    </row>
    <row r="25" spans="19:20" x14ac:dyDescent="0.25">
      <c r="S25">
        <f t="shared" si="3"/>
        <v>32600</v>
      </c>
      <c r="T25">
        <f t="shared" si="2"/>
        <v>0.67633627675981534</v>
      </c>
    </row>
    <row r="26" spans="19:20" x14ac:dyDescent="0.25">
      <c r="S26">
        <f t="shared" si="3"/>
        <v>33200</v>
      </c>
      <c r="T26">
        <f t="shared" si="2"/>
        <v>0.69573911603198957</v>
      </c>
    </row>
    <row r="27" spans="19:20" x14ac:dyDescent="0.25">
      <c r="S27">
        <f t="shared" si="3"/>
        <v>33800</v>
      </c>
      <c r="T27">
        <f t="shared" si="2"/>
        <v>0.7143058784257279</v>
      </c>
    </row>
    <row r="28" spans="19:20" x14ac:dyDescent="0.25">
      <c r="S28">
        <f t="shared" si="3"/>
        <v>34400</v>
      </c>
      <c r="T28">
        <f t="shared" si="2"/>
        <v>0.73207167180735744</v>
      </c>
    </row>
    <row r="29" spans="19:20" x14ac:dyDescent="0.25">
      <c r="S29">
        <f t="shared" si="3"/>
        <v>35000</v>
      </c>
      <c r="T29">
        <f t="shared" si="2"/>
        <v>0.74907022570712267</v>
      </c>
    </row>
    <row r="30" spans="19:20" x14ac:dyDescent="0.25">
      <c r="S30">
        <f t="shared" si="3"/>
        <v>35600</v>
      </c>
      <c r="T30">
        <f t="shared" si="2"/>
        <v>0.76533393289778606</v>
      </c>
    </row>
    <row r="31" spans="19:20" x14ac:dyDescent="0.25">
      <c r="S31">
        <f t="shared" si="3"/>
        <v>36200</v>
      </c>
      <c r="T31">
        <f t="shared" si="2"/>
        <v>0.78089389181157454</v>
      </c>
    </row>
    <row r="32" spans="19:20" x14ac:dyDescent="0.25">
      <c r="S32">
        <f t="shared" si="3"/>
        <v>36800</v>
      </c>
      <c r="T32">
        <f t="shared" si="2"/>
        <v>0.79577994930192453</v>
      </c>
    </row>
    <row r="33" spans="19:20" x14ac:dyDescent="0.25">
      <c r="S33">
        <f t="shared" si="3"/>
        <v>37400</v>
      </c>
      <c r="T33">
        <f t="shared" si="2"/>
        <v>0.81002074337102525</v>
      </c>
    </row>
    <row r="34" spans="19:20" x14ac:dyDescent="0.25">
      <c r="S34">
        <f t="shared" si="3"/>
        <v>38000</v>
      </c>
      <c r="T34">
        <f t="shared" si="2"/>
        <v>0.82364374557199593</v>
      </c>
    </row>
    <row r="35" spans="19:20" x14ac:dyDescent="0.25">
      <c r="S35">
        <f t="shared" si="3"/>
        <v>38600</v>
      </c>
      <c r="T35">
        <f t="shared" si="2"/>
        <v>0.83667530286252012</v>
      </c>
    </row>
    <row r="36" spans="19:20" x14ac:dyDescent="0.25">
      <c r="S36">
        <f t="shared" si="3"/>
        <v>39200</v>
      </c>
      <c r="T36">
        <f t="shared" si="2"/>
        <v>0.84914067873976029</v>
      </c>
    </row>
    <row r="37" spans="19:20" x14ac:dyDescent="0.25">
      <c r="S37">
        <f t="shared" si="3"/>
        <v>39800</v>
      </c>
      <c r="T37">
        <f t="shared" si="2"/>
        <v>0.86106409352798929</v>
      </c>
    </row>
    <row r="38" spans="19:20" x14ac:dyDescent="0.25">
      <c r="S38">
        <f t="shared" si="3"/>
        <v>40400</v>
      </c>
      <c r="T38">
        <f t="shared" si="2"/>
        <v>0.87246876372322291</v>
      </c>
    </row>
    <row r="39" spans="19:20" x14ac:dyDescent="0.25">
      <c r="S39">
        <f t="shared" si="3"/>
        <v>41000</v>
      </c>
      <c r="T39">
        <f t="shared" si="2"/>
        <v>0.88337694032520431</v>
      </c>
    </row>
    <row r="40" spans="19:20" x14ac:dyDescent="0.25">
      <c r="S40">
        <f t="shared" si="3"/>
        <v>41600</v>
      </c>
      <c r="T40">
        <f t="shared" si="2"/>
        <v>0.89380994610785469</v>
      </c>
    </row>
    <row r="41" spans="19:20" x14ac:dyDescent="0.25">
      <c r="S41">
        <f t="shared" si="3"/>
        <v>42200</v>
      </c>
      <c r="T41">
        <f t="shared" si="2"/>
        <v>0.90378821179585778</v>
      </c>
    </row>
    <row r="42" spans="19:20" x14ac:dyDescent="0.25">
      <c r="S42">
        <f t="shared" si="3"/>
        <v>42800</v>
      </c>
      <c r="T42">
        <f t="shared" si="2"/>
        <v>0.91333131112833466</v>
      </c>
    </row>
    <row r="43" spans="19:20" x14ac:dyDescent="0.25">
      <c r="S43">
        <f t="shared" si="3"/>
        <v>43400</v>
      </c>
      <c r="T43">
        <f t="shared" si="2"/>
        <v>0.9224579948011451</v>
      </c>
    </row>
    <row r="44" spans="19:20" x14ac:dyDescent="0.25">
      <c r="S44">
        <f t="shared" si="3"/>
        <v>44000</v>
      </c>
      <c r="T44">
        <f t="shared" si="2"/>
        <v>0.93118622328789347</v>
      </c>
    </row>
    <row r="45" spans="19:20" x14ac:dyDescent="0.25">
      <c r="S45">
        <f t="shared" si="3"/>
        <v>44600</v>
      </c>
      <c r="T45">
        <f t="shared" si="2"/>
        <v>0.93953319854645434</v>
      </c>
    </row>
    <row r="46" spans="19:20" x14ac:dyDescent="0.25">
      <c r="S46">
        <f t="shared" si="3"/>
        <v>45200</v>
      </c>
      <c r="T46">
        <f t="shared" si="2"/>
        <v>0.94751539462326184</v>
      </c>
    </row>
    <row r="47" spans="19:20" x14ac:dyDescent="0.25">
      <c r="S47">
        <f t="shared" si="3"/>
        <v>45800</v>
      </c>
      <c r="T47">
        <f t="shared" si="2"/>
        <v>0.9551485871718729</v>
      </c>
    </row>
    <row r="48" spans="19:20" x14ac:dyDescent="0.25">
      <c r="S48">
        <f t="shared" si="3"/>
        <v>46400</v>
      </c>
      <c r="T48">
        <f t="shared" si="2"/>
        <v>0.96244788190566433</v>
      </c>
    </row>
    <row r="49" spans="19:20" x14ac:dyDescent="0.25">
      <c r="S49">
        <f t="shared" si="3"/>
        <v>47000</v>
      </c>
      <c r="T49">
        <f t="shared" si="2"/>
        <v>0.96942774200712278</v>
      </c>
    </row>
    <row r="50" spans="19:20" x14ac:dyDescent="0.25">
      <c r="S50">
        <f t="shared" si="3"/>
        <v>47600</v>
      </c>
      <c r="T50">
        <f t="shared" si="2"/>
        <v>0.97610201451818457</v>
      </c>
    </row>
    <row r="51" spans="19:20" x14ac:dyDescent="0.25">
      <c r="S51">
        <f t="shared" si="3"/>
        <v>48200</v>
      </c>
      <c r="T51">
        <f t="shared" si="2"/>
        <v>0.9824839557375431</v>
      </c>
    </row>
    <row r="52" spans="19:20" x14ac:dyDescent="0.25">
      <c r="S52">
        <f t="shared" si="3"/>
        <v>48800</v>
      </c>
      <c r="T52">
        <f t="shared" si="2"/>
        <v>0.98858625565191238</v>
      </c>
    </row>
    <row r="53" spans="19:20" x14ac:dyDescent="0.25">
      <c r="S53">
        <f t="shared" si="3"/>
        <v>49400</v>
      </c>
      <c r="T53">
        <f t="shared" si="2"/>
        <v>0.99442106142895415</v>
      </c>
    </row>
    <row r="54" spans="19:20" x14ac:dyDescent="0.25">
      <c r="S54">
        <f t="shared" si="3"/>
        <v>50000</v>
      </c>
      <c r="T54">
        <f t="shared" si="2"/>
        <v>1</v>
      </c>
    </row>
    <row r="55" spans="19:20" x14ac:dyDescent="0.25">
      <c r="S55">
        <f t="shared" si="3"/>
        <v>50600</v>
      </c>
      <c r="T55">
        <f t="shared" si="2"/>
        <v>1</v>
      </c>
    </row>
    <row r="56" spans="19:20" x14ac:dyDescent="0.25">
      <c r="S56">
        <f t="shared" si="3"/>
        <v>51200</v>
      </c>
      <c r="T56">
        <f t="shared" si="2"/>
        <v>1</v>
      </c>
    </row>
    <row r="57" spans="19:20" x14ac:dyDescent="0.25">
      <c r="S57">
        <f t="shared" si="3"/>
        <v>51800</v>
      </c>
      <c r="T57">
        <f t="shared" si="2"/>
        <v>1</v>
      </c>
    </row>
    <row r="58" spans="19:20" x14ac:dyDescent="0.25">
      <c r="S58">
        <f t="shared" si="3"/>
        <v>52400</v>
      </c>
      <c r="T58">
        <f t="shared" si="2"/>
        <v>1</v>
      </c>
    </row>
    <row r="59" spans="19:20" x14ac:dyDescent="0.25">
      <c r="S59">
        <f t="shared" si="3"/>
        <v>53000</v>
      </c>
      <c r="T59">
        <f t="shared" si="2"/>
        <v>1</v>
      </c>
    </row>
    <row r="60" spans="19:20" x14ac:dyDescent="0.25">
      <c r="S60">
        <f t="shared" si="3"/>
        <v>53600</v>
      </c>
      <c r="T60">
        <f t="shared" si="2"/>
        <v>1</v>
      </c>
    </row>
    <row r="61" spans="19:20" x14ac:dyDescent="0.25">
      <c r="S61">
        <f t="shared" si="3"/>
        <v>54200</v>
      </c>
      <c r="T61">
        <f t="shared" si="2"/>
        <v>1</v>
      </c>
    </row>
    <row r="62" spans="19:20" x14ac:dyDescent="0.25">
      <c r="S62">
        <f t="shared" si="3"/>
        <v>54800</v>
      </c>
      <c r="T62">
        <f t="shared" si="2"/>
        <v>1</v>
      </c>
    </row>
    <row r="63" spans="19:20" x14ac:dyDescent="0.25">
      <c r="S63">
        <f t="shared" si="3"/>
        <v>55400</v>
      </c>
      <c r="T63">
        <f t="shared" si="2"/>
        <v>1</v>
      </c>
    </row>
    <row r="64" spans="19:20" x14ac:dyDescent="0.25">
      <c r="S64">
        <f t="shared" si="3"/>
        <v>56000</v>
      </c>
      <c r="T64">
        <f t="shared" si="2"/>
        <v>1</v>
      </c>
    </row>
    <row r="65" spans="19:20" x14ac:dyDescent="0.25">
      <c r="S65">
        <f t="shared" si="3"/>
        <v>56600</v>
      </c>
      <c r="T65">
        <f t="shared" si="2"/>
        <v>1</v>
      </c>
    </row>
    <row r="66" spans="19:20" x14ac:dyDescent="0.25">
      <c r="S66">
        <f t="shared" si="3"/>
        <v>57200</v>
      </c>
      <c r="T66">
        <f t="shared" si="2"/>
        <v>1</v>
      </c>
    </row>
    <row r="67" spans="19:20" x14ac:dyDescent="0.25">
      <c r="S67">
        <f t="shared" si="3"/>
        <v>57800</v>
      </c>
      <c r="T67">
        <f t="shared" si="2"/>
        <v>1</v>
      </c>
    </row>
    <row r="68" spans="19:20" x14ac:dyDescent="0.25">
      <c r="S68">
        <f t="shared" si="3"/>
        <v>58400</v>
      </c>
      <c r="T68">
        <f t="shared" si="2"/>
        <v>1</v>
      </c>
    </row>
    <row r="69" spans="19:20" x14ac:dyDescent="0.25">
      <c r="S69">
        <f t="shared" si="3"/>
        <v>59000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59600</v>
      </c>
      <c r="T70">
        <f t="shared" si="4"/>
        <v>1</v>
      </c>
    </row>
    <row r="71" spans="19:20" x14ac:dyDescent="0.25">
      <c r="S71">
        <f t="shared" si="5"/>
        <v>60200</v>
      </c>
      <c r="T71">
        <f t="shared" si="4"/>
        <v>1</v>
      </c>
    </row>
    <row r="72" spans="19:20" x14ac:dyDescent="0.25">
      <c r="S72">
        <f t="shared" si="5"/>
        <v>60800</v>
      </c>
      <c r="T72">
        <f t="shared" si="4"/>
        <v>1</v>
      </c>
    </row>
    <row r="73" spans="19:20" x14ac:dyDescent="0.25">
      <c r="S73">
        <f t="shared" si="5"/>
        <v>61400</v>
      </c>
      <c r="T73">
        <f t="shared" si="4"/>
        <v>1</v>
      </c>
    </row>
    <row r="74" spans="19:20" x14ac:dyDescent="0.25">
      <c r="S74">
        <f t="shared" si="5"/>
        <v>62000</v>
      </c>
      <c r="T74">
        <f t="shared" si="4"/>
        <v>1</v>
      </c>
    </row>
    <row r="75" spans="19:20" x14ac:dyDescent="0.25">
      <c r="S75">
        <f t="shared" si="5"/>
        <v>62600</v>
      </c>
      <c r="T75">
        <f t="shared" si="4"/>
        <v>1</v>
      </c>
    </row>
    <row r="76" spans="19:20" x14ac:dyDescent="0.25">
      <c r="S76">
        <f t="shared" si="5"/>
        <v>63200</v>
      </c>
      <c r="T76">
        <f t="shared" si="4"/>
        <v>1</v>
      </c>
    </row>
    <row r="77" spans="19:20" x14ac:dyDescent="0.25">
      <c r="S77">
        <f t="shared" si="5"/>
        <v>63800</v>
      </c>
      <c r="T77">
        <f t="shared" si="4"/>
        <v>1</v>
      </c>
    </row>
    <row r="78" spans="19:20" x14ac:dyDescent="0.25">
      <c r="S78">
        <f t="shared" si="5"/>
        <v>64400</v>
      </c>
      <c r="T78">
        <f t="shared" si="4"/>
        <v>1</v>
      </c>
    </row>
    <row r="79" spans="19:20" x14ac:dyDescent="0.25">
      <c r="S79">
        <f t="shared" si="5"/>
        <v>65000</v>
      </c>
      <c r="T79">
        <f t="shared" si="4"/>
        <v>1</v>
      </c>
    </row>
    <row r="80" spans="19:20" x14ac:dyDescent="0.25">
      <c r="S80">
        <f t="shared" si="5"/>
        <v>65600</v>
      </c>
      <c r="T80">
        <f t="shared" si="4"/>
        <v>1</v>
      </c>
    </row>
    <row r="81" spans="19:20" x14ac:dyDescent="0.25">
      <c r="S81">
        <f t="shared" si="5"/>
        <v>66200</v>
      </c>
      <c r="T81">
        <f t="shared" si="4"/>
        <v>1</v>
      </c>
    </row>
    <row r="82" spans="19:20" x14ac:dyDescent="0.25">
      <c r="S82">
        <f t="shared" si="5"/>
        <v>66800</v>
      </c>
      <c r="T82">
        <f t="shared" si="4"/>
        <v>1</v>
      </c>
    </row>
    <row r="83" spans="19:20" x14ac:dyDescent="0.25">
      <c r="S83">
        <f t="shared" si="5"/>
        <v>67400</v>
      </c>
      <c r="T83">
        <f t="shared" si="4"/>
        <v>1</v>
      </c>
    </row>
    <row r="84" spans="19:20" x14ac:dyDescent="0.25">
      <c r="S84">
        <f t="shared" si="5"/>
        <v>68000</v>
      </c>
      <c r="T84">
        <f t="shared" si="4"/>
        <v>1</v>
      </c>
    </row>
    <row r="85" spans="19:20" x14ac:dyDescent="0.25">
      <c r="S85">
        <f t="shared" si="5"/>
        <v>68600</v>
      </c>
      <c r="T85">
        <f t="shared" si="4"/>
        <v>1</v>
      </c>
    </row>
    <row r="86" spans="19:20" x14ac:dyDescent="0.25">
      <c r="S86">
        <f t="shared" si="5"/>
        <v>69200</v>
      </c>
      <c r="T86">
        <f t="shared" si="4"/>
        <v>1</v>
      </c>
    </row>
    <row r="87" spans="19:20" x14ac:dyDescent="0.25">
      <c r="S87">
        <f t="shared" si="5"/>
        <v>69800</v>
      </c>
      <c r="T87">
        <f t="shared" si="4"/>
        <v>1</v>
      </c>
    </row>
    <row r="88" spans="19:20" x14ac:dyDescent="0.25">
      <c r="S88">
        <f t="shared" si="5"/>
        <v>70400</v>
      </c>
      <c r="T88">
        <f t="shared" si="4"/>
        <v>1</v>
      </c>
    </row>
    <row r="89" spans="19:20" x14ac:dyDescent="0.25">
      <c r="S89">
        <f t="shared" si="5"/>
        <v>71000</v>
      </c>
      <c r="T89">
        <f t="shared" si="4"/>
        <v>1</v>
      </c>
    </row>
    <row r="90" spans="19:20" x14ac:dyDescent="0.25">
      <c r="S90">
        <f t="shared" si="5"/>
        <v>71600</v>
      </c>
      <c r="T90">
        <f t="shared" si="4"/>
        <v>1</v>
      </c>
    </row>
    <row r="91" spans="19:20" x14ac:dyDescent="0.25">
      <c r="S91">
        <f t="shared" si="5"/>
        <v>72200</v>
      </c>
      <c r="T91">
        <f t="shared" si="4"/>
        <v>1</v>
      </c>
    </row>
    <row r="92" spans="19:20" x14ac:dyDescent="0.25">
      <c r="S92">
        <f t="shared" si="5"/>
        <v>72800</v>
      </c>
      <c r="T92">
        <f t="shared" si="4"/>
        <v>1</v>
      </c>
    </row>
    <row r="93" spans="19:20" x14ac:dyDescent="0.25">
      <c r="S93">
        <f t="shared" si="5"/>
        <v>73400</v>
      </c>
      <c r="T93">
        <f t="shared" si="4"/>
        <v>1</v>
      </c>
    </row>
    <row r="94" spans="19:20" x14ac:dyDescent="0.25">
      <c r="S94">
        <f t="shared" si="5"/>
        <v>74000</v>
      </c>
      <c r="T94">
        <f t="shared" si="4"/>
        <v>1</v>
      </c>
    </row>
    <row r="95" spans="19:20" x14ac:dyDescent="0.25">
      <c r="S95">
        <f t="shared" si="5"/>
        <v>74600</v>
      </c>
      <c r="T95">
        <f t="shared" si="4"/>
        <v>1</v>
      </c>
    </row>
    <row r="96" spans="19:20" x14ac:dyDescent="0.25">
      <c r="S96">
        <f t="shared" si="5"/>
        <v>75200</v>
      </c>
      <c r="T96">
        <f t="shared" si="4"/>
        <v>1</v>
      </c>
    </row>
    <row r="97" spans="19:20" x14ac:dyDescent="0.25">
      <c r="S97">
        <f t="shared" si="5"/>
        <v>75800</v>
      </c>
      <c r="T97">
        <f t="shared" si="4"/>
        <v>1</v>
      </c>
    </row>
    <row r="98" spans="19:20" x14ac:dyDescent="0.25">
      <c r="S98">
        <f t="shared" si="5"/>
        <v>76400</v>
      </c>
      <c r="T98">
        <f t="shared" si="4"/>
        <v>1</v>
      </c>
    </row>
    <row r="99" spans="19:20" x14ac:dyDescent="0.25">
      <c r="S99">
        <f t="shared" si="5"/>
        <v>77000</v>
      </c>
      <c r="T99">
        <f t="shared" si="4"/>
        <v>1</v>
      </c>
    </row>
    <row r="100" spans="19:20" x14ac:dyDescent="0.25">
      <c r="S100">
        <f t="shared" si="5"/>
        <v>77600</v>
      </c>
      <c r="T100">
        <f t="shared" si="4"/>
        <v>1</v>
      </c>
    </row>
    <row r="101" spans="19:20" x14ac:dyDescent="0.25">
      <c r="S101">
        <f t="shared" si="5"/>
        <v>78200</v>
      </c>
      <c r="T101">
        <f t="shared" si="4"/>
        <v>1</v>
      </c>
    </row>
    <row r="102" spans="19:20" x14ac:dyDescent="0.25">
      <c r="S102">
        <f t="shared" si="5"/>
        <v>78800</v>
      </c>
      <c r="T102">
        <f t="shared" si="4"/>
        <v>1</v>
      </c>
    </row>
    <row r="103" spans="19:20" x14ac:dyDescent="0.25">
      <c r="S103">
        <f t="shared" si="5"/>
        <v>79400</v>
      </c>
      <c r="T103">
        <f t="shared" si="4"/>
        <v>1</v>
      </c>
    </row>
    <row r="104" spans="19:20" x14ac:dyDescent="0.25">
      <c r="S104">
        <f t="shared" si="5"/>
        <v>80000</v>
      </c>
      <c r="T104">
        <f t="shared" si="4"/>
        <v>1</v>
      </c>
    </row>
    <row r="105" spans="19:20" x14ac:dyDescent="0.25">
      <c r="S105">
        <f t="shared" si="5"/>
        <v>80600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2" sqref="P2:P12"/>
    </sheetView>
  </sheetViews>
  <sheetFormatPr defaultRowHeight="15" x14ac:dyDescent="0.25"/>
  <cols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16" t="s">
        <v>189</v>
      </c>
      <c r="B1" s="16" t="s">
        <v>179</v>
      </c>
      <c r="P1" t="s">
        <v>182</v>
      </c>
      <c r="Q1" t="s">
        <v>183</v>
      </c>
    </row>
    <row r="2" spans="1:20" x14ac:dyDescent="0.25">
      <c r="A2">
        <v>5</v>
      </c>
      <c r="B2">
        <v>0</v>
      </c>
      <c r="P2" s="14">
        <f>(1-EXP($B$14*(A2-MIN($A$2:$A$12))^$B$15))/$B$16</f>
        <v>0</v>
      </c>
      <c r="Q2" s="14">
        <f>(P2-B2)^2</f>
        <v>0</v>
      </c>
    </row>
    <row r="3" spans="1:20" x14ac:dyDescent="0.25">
      <c r="A3">
        <f>A$2+B3*($A$12-$A$2)</f>
        <v>5.8</v>
      </c>
      <c r="B3">
        <v>0.2</v>
      </c>
      <c r="P3" s="14">
        <f t="shared" ref="P3:P12" si="0">(1-EXP($B$14*(A3-MIN($A$2:$A$12))^$B$15))/$B$16</f>
        <v>0.199999995559108</v>
      </c>
      <c r="Q3" s="14">
        <f t="shared" ref="Q3:Q12" si="1">(P3-B3)^2</f>
        <v>1.9721521890968203E-17</v>
      </c>
      <c r="S3" t="s">
        <v>185</v>
      </c>
      <c r="T3" t="s">
        <v>186</v>
      </c>
    </row>
    <row r="4" spans="1:20" x14ac:dyDescent="0.25">
      <c r="A4">
        <f t="shared" ref="A4:A11" si="2">A$2+B4*($A$12-$A$2)</f>
        <v>6.6</v>
      </c>
      <c r="B4">
        <v>0.4</v>
      </c>
      <c r="P4" s="14">
        <f t="shared" si="0"/>
        <v>0.399999996669331</v>
      </c>
      <c r="Q4" s="14">
        <f t="shared" si="1"/>
        <v>1.1093356109891932E-17</v>
      </c>
      <c r="S4">
        <f>MIN(A2:A12)</f>
        <v>5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7</v>
      </c>
      <c r="B5">
        <v>0.5</v>
      </c>
      <c r="P5" s="14">
        <f t="shared" si="0"/>
        <v>0.49999999167332748</v>
      </c>
      <c r="Q5" s="14">
        <f t="shared" si="1"/>
        <v>6.9333475224601395E-17</v>
      </c>
      <c r="S5">
        <f>S4+(MAX($A$2:$A$12)-$S$4)/50</f>
        <v>5.08</v>
      </c>
      <c r="T5">
        <f t="shared" ref="T5:T68" si="3">IF(S5&lt;=MIN($A$2:$A$12),0,IF(S5&gt;=MAX($A$2:$A$12),1,(1/$B$16)*(1-EXP($B$14*(S5-MIN($A$2:$A$12))^$B$15))))</f>
        <v>2.0000001221245303E-2</v>
      </c>
    </row>
    <row r="6" spans="1:20" x14ac:dyDescent="0.25">
      <c r="A6">
        <f t="shared" si="2"/>
        <v>7.4</v>
      </c>
      <c r="B6">
        <v>0.6</v>
      </c>
      <c r="P6" s="14">
        <f t="shared" si="0"/>
        <v>0.59999999222843903</v>
      </c>
      <c r="Q6" s="14">
        <f t="shared" si="1"/>
        <v>6.0397159604717305E-17</v>
      </c>
      <c r="S6">
        <f t="shared" ref="S6:S69" si="4">S5+(MAX($A$2:$A$12)-$S$4)/50</f>
        <v>5.16</v>
      </c>
      <c r="T6">
        <f t="shared" si="3"/>
        <v>3.9999996891375601E-2</v>
      </c>
    </row>
    <row r="7" spans="1:20" x14ac:dyDescent="0.25">
      <c r="A7">
        <f t="shared" si="2"/>
        <v>7.8</v>
      </c>
      <c r="B7">
        <v>0.7</v>
      </c>
      <c r="P7" s="14">
        <f t="shared" si="0"/>
        <v>0.69999999278355052</v>
      </c>
      <c r="Q7" s="14">
        <f t="shared" si="1"/>
        <v>5.2077142491483479E-17</v>
      </c>
      <c r="S7">
        <f t="shared" si="4"/>
        <v>5.24</v>
      </c>
      <c r="T7">
        <f t="shared" si="3"/>
        <v>5.9999998112620904E-2</v>
      </c>
    </row>
    <row r="8" spans="1:20" x14ac:dyDescent="0.25">
      <c r="A8">
        <f t="shared" si="2"/>
        <v>8.1999999999999993</v>
      </c>
      <c r="B8">
        <v>0.8</v>
      </c>
      <c r="P8" s="14">
        <f t="shared" si="0"/>
        <v>0.79999999333866201</v>
      </c>
      <c r="Q8" s="14">
        <f t="shared" si="1"/>
        <v>4.4373424439567729E-17</v>
      </c>
      <c r="S8">
        <f t="shared" si="4"/>
        <v>5.32</v>
      </c>
      <c r="T8">
        <f t="shared" si="3"/>
        <v>7.9999999333866201E-2</v>
      </c>
    </row>
    <row r="9" spans="1:20" x14ac:dyDescent="0.25">
      <c r="A9">
        <f t="shared" si="2"/>
        <v>8.4</v>
      </c>
      <c r="B9">
        <v>0.85</v>
      </c>
      <c r="P9" s="14">
        <f t="shared" si="0"/>
        <v>0.84999999639177526</v>
      </c>
      <c r="Q9" s="14">
        <f t="shared" si="1"/>
        <v>1.301928562287087E-17</v>
      </c>
      <c r="S9">
        <f t="shared" si="4"/>
        <v>5.4</v>
      </c>
      <c r="T9">
        <f t="shared" si="3"/>
        <v>0.1000000005551115</v>
      </c>
    </row>
    <row r="10" spans="1:20" x14ac:dyDescent="0.25">
      <c r="A10">
        <f t="shared" si="2"/>
        <v>8.6</v>
      </c>
      <c r="B10">
        <v>0.9</v>
      </c>
      <c r="P10" s="14">
        <f t="shared" si="0"/>
        <v>0.89999999944488851</v>
      </c>
      <c r="Q10" s="14">
        <f t="shared" si="1"/>
        <v>3.0814879110195774E-19</v>
      </c>
      <c r="S10">
        <f t="shared" si="4"/>
        <v>5.48</v>
      </c>
      <c r="T10">
        <f t="shared" si="3"/>
        <v>0.11999999622524181</v>
      </c>
    </row>
    <row r="11" spans="1:20" x14ac:dyDescent="0.25">
      <c r="A11">
        <f t="shared" si="2"/>
        <v>8.8000000000000007</v>
      </c>
      <c r="B11">
        <v>0.95</v>
      </c>
      <c r="P11" s="14">
        <f t="shared" si="0"/>
        <v>0.94999999694688675</v>
      </c>
      <c r="Q11" s="14">
        <f t="shared" si="1"/>
        <v>9.3215002529068934E-18</v>
      </c>
      <c r="S11">
        <f t="shared" si="4"/>
        <v>5.5600000000000005</v>
      </c>
      <c r="T11">
        <f t="shared" si="3"/>
        <v>0.13999999744648711</v>
      </c>
    </row>
    <row r="12" spans="1:20" x14ac:dyDescent="0.25">
      <c r="A12">
        <v>9</v>
      </c>
      <c r="B12">
        <v>1</v>
      </c>
      <c r="P12" s="14">
        <f t="shared" si="0"/>
        <v>1</v>
      </c>
      <c r="Q12" s="14">
        <f t="shared" si="1"/>
        <v>0</v>
      </c>
      <c r="S12">
        <f t="shared" si="4"/>
        <v>5.6400000000000006</v>
      </c>
      <c r="T12">
        <f t="shared" si="3"/>
        <v>0.1599999986677324</v>
      </c>
    </row>
    <row r="13" spans="1:20" x14ac:dyDescent="0.25">
      <c r="S13">
        <f t="shared" si="4"/>
        <v>5.7200000000000006</v>
      </c>
      <c r="T13">
        <f t="shared" si="3"/>
        <v>0.17999999433786271</v>
      </c>
    </row>
    <row r="14" spans="1:20" x14ac:dyDescent="0.25">
      <c r="A14" t="s">
        <v>180</v>
      </c>
      <c r="B14" s="15">
        <v>1E-8</v>
      </c>
      <c r="O14" t="s">
        <v>184</v>
      </c>
      <c r="Q14" s="14">
        <f>SUM(Q2:Q12)</f>
        <v>2.7964501442810974E-16</v>
      </c>
      <c r="S14">
        <f t="shared" si="4"/>
        <v>5.8000000000000007</v>
      </c>
      <c r="T14">
        <f t="shared" si="3"/>
        <v>0.19999999555910802</v>
      </c>
    </row>
    <row r="15" spans="1:20" x14ac:dyDescent="0.25">
      <c r="A15" t="s">
        <v>188</v>
      </c>
      <c r="B15" s="14">
        <v>1</v>
      </c>
      <c r="S15">
        <f t="shared" si="4"/>
        <v>5.8800000000000008</v>
      </c>
      <c r="T15">
        <f t="shared" si="3"/>
        <v>0.21999999678035331</v>
      </c>
    </row>
    <row r="16" spans="1:20" x14ac:dyDescent="0.25">
      <c r="A16" t="s">
        <v>181</v>
      </c>
      <c r="B16" s="14">
        <f>1-EXP($B$14*(MAX($A$2:$A$12)-MIN($A$2:$A$12))^$B$15)</f>
        <v>-4.0000000867124186E-8</v>
      </c>
      <c r="S16">
        <f t="shared" si="4"/>
        <v>5.9600000000000009</v>
      </c>
      <c r="T16">
        <f t="shared" si="3"/>
        <v>0.23999999800159863</v>
      </c>
    </row>
    <row r="17" spans="19:20" x14ac:dyDescent="0.25">
      <c r="S17">
        <f t="shared" si="4"/>
        <v>6.0400000000000009</v>
      </c>
      <c r="T17">
        <f t="shared" si="3"/>
        <v>0.25999999367172894</v>
      </c>
    </row>
    <row r="18" spans="19:20" x14ac:dyDescent="0.25">
      <c r="S18">
        <f t="shared" si="4"/>
        <v>6.120000000000001</v>
      </c>
      <c r="T18">
        <f t="shared" si="3"/>
        <v>0.27999999489297422</v>
      </c>
    </row>
    <row r="19" spans="19:20" x14ac:dyDescent="0.25">
      <c r="S19">
        <f t="shared" si="4"/>
        <v>6.2000000000000011</v>
      </c>
      <c r="T19">
        <f t="shared" si="3"/>
        <v>0.29999999611421951</v>
      </c>
    </row>
    <row r="20" spans="19:20" x14ac:dyDescent="0.25">
      <c r="S20">
        <f t="shared" si="4"/>
        <v>6.2800000000000011</v>
      </c>
      <c r="T20">
        <f t="shared" si="3"/>
        <v>0.3199999973354648</v>
      </c>
    </row>
    <row r="21" spans="19:20" x14ac:dyDescent="0.25">
      <c r="S21">
        <f t="shared" si="4"/>
        <v>6.3600000000000012</v>
      </c>
      <c r="T21">
        <f t="shared" si="3"/>
        <v>0.33999999300559514</v>
      </c>
    </row>
    <row r="22" spans="19:20" x14ac:dyDescent="0.25">
      <c r="S22">
        <f t="shared" si="4"/>
        <v>6.4400000000000013</v>
      </c>
      <c r="T22">
        <f t="shared" si="3"/>
        <v>0.35999999422684043</v>
      </c>
    </row>
    <row r="23" spans="19:20" x14ac:dyDescent="0.25">
      <c r="S23">
        <f t="shared" si="4"/>
        <v>6.5200000000000014</v>
      </c>
      <c r="T23">
        <f t="shared" si="3"/>
        <v>0.37999999544808571</v>
      </c>
    </row>
    <row r="24" spans="19:20" x14ac:dyDescent="0.25">
      <c r="S24">
        <f t="shared" si="4"/>
        <v>6.6000000000000014</v>
      </c>
      <c r="T24">
        <f t="shared" si="3"/>
        <v>0.399999996669331</v>
      </c>
    </row>
    <row r="25" spans="19:20" x14ac:dyDescent="0.25">
      <c r="S25">
        <f t="shared" si="4"/>
        <v>6.6800000000000015</v>
      </c>
      <c r="T25">
        <f t="shared" si="3"/>
        <v>0.41999999233946134</v>
      </c>
    </row>
    <row r="26" spans="19:20" x14ac:dyDescent="0.25">
      <c r="S26">
        <f t="shared" si="4"/>
        <v>6.7600000000000016</v>
      </c>
      <c r="T26">
        <f t="shared" si="3"/>
        <v>0.43999999356070663</v>
      </c>
    </row>
    <row r="27" spans="19:20" x14ac:dyDescent="0.25">
      <c r="S27">
        <f t="shared" si="4"/>
        <v>6.8400000000000016</v>
      </c>
      <c r="T27">
        <f t="shared" si="3"/>
        <v>0.45999999478195192</v>
      </c>
    </row>
    <row r="28" spans="19:20" x14ac:dyDescent="0.25">
      <c r="S28">
        <f t="shared" si="4"/>
        <v>6.9200000000000017</v>
      </c>
      <c r="T28">
        <f t="shared" si="3"/>
        <v>0.47999999600319726</v>
      </c>
    </row>
    <row r="29" spans="19:20" x14ac:dyDescent="0.25">
      <c r="S29">
        <f t="shared" si="4"/>
        <v>7.0000000000000018</v>
      </c>
      <c r="T29">
        <f t="shared" si="3"/>
        <v>0.49999999167332754</v>
      </c>
    </row>
    <row r="30" spans="19:20" x14ac:dyDescent="0.25">
      <c r="S30">
        <f t="shared" si="4"/>
        <v>7.0800000000000018</v>
      </c>
      <c r="T30">
        <f t="shared" si="3"/>
        <v>0.51999999289457288</v>
      </c>
    </row>
    <row r="31" spans="19:20" x14ac:dyDescent="0.25">
      <c r="S31">
        <f t="shared" si="4"/>
        <v>7.1600000000000019</v>
      </c>
      <c r="T31">
        <f t="shared" si="3"/>
        <v>0.53999999411581812</v>
      </c>
    </row>
    <row r="32" spans="19:20" x14ac:dyDescent="0.25">
      <c r="S32">
        <f t="shared" si="4"/>
        <v>7.240000000000002</v>
      </c>
      <c r="T32">
        <f t="shared" si="3"/>
        <v>0.55999999533706346</v>
      </c>
    </row>
    <row r="33" spans="19:20" x14ac:dyDescent="0.25">
      <c r="S33">
        <f t="shared" si="4"/>
        <v>7.3200000000000021</v>
      </c>
      <c r="T33">
        <f t="shared" si="3"/>
        <v>0.57999999655830869</v>
      </c>
    </row>
    <row r="34" spans="19:20" x14ac:dyDescent="0.25">
      <c r="S34">
        <f t="shared" si="4"/>
        <v>7.4000000000000021</v>
      </c>
      <c r="T34">
        <f t="shared" si="3"/>
        <v>0.59999999222843903</v>
      </c>
    </row>
    <row r="35" spans="19:20" x14ac:dyDescent="0.25">
      <c r="S35">
        <f t="shared" si="4"/>
        <v>7.4800000000000022</v>
      </c>
      <c r="T35">
        <f t="shared" si="3"/>
        <v>0.61999999344968437</v>
      </c>
    </row>
    <row r="36" spans="19:20" x14ac:dyDescent="0.25">
      <c r="S36">
        <f t="shared" si="4"/>
        <v>7.5600000000000023</v>
      </c>
      <c r="T36">
        <f t="shared" si="3"/>
        <v>0.63999999467092961</v>
      </c>
    </row>
    <row r="37" spans="19:20" x14ac:dyDescent="0.25">
      <c r="S37">
        <f t="shared" si="4"/>
        <v>7.6400000000000023</v>
      </c>
      <c r="T37">
        <f t="shared" si="3"/>
        <v>0.65999999589217495</v>
      </c>
    </row>
    <row r="38" spans="19:20" x14ac:dyDescent="0.25">
      <c r="S38">
        <f t="shared" si="4"/>
        <v>7.7200000000000024</v>
      </c>
      <c r="T38">
        <f t="shared" si="3"/>
        <v>0.6799999971134203</v>
      </c>
    </row>
    <row r="39" spans="19:20" x14ac:dyDescent="0.25">
      <c r="S39">
        <f t="shared" si="4"/>
        <v>7.8000000000000025</v>
      </c>
      <c r="T39">
        <f t="shared" si="3"/>
        <v>0.69999999278355052</v>
      </c>
    </row>
    <row r="40" spans="19:20" x14ac:dyDescent="0.25">
      <c r="S40">
        <f t="shared" si="4"/>
        <v>7.8800000000000026</v>
      </c>
      <c r="T40">
        <f t="shared" si="3"/>
        <v>0.71999999400479586</v>
      </c>
    </row>
    <row r="41" spans="19:20" x14ac:dyDescent="0.25">
      <c r="S41">
        <f t="shared" si="4"/>
        <v>7.9600000000000026</v>
      </c>
      <c r="T41">
        <f t="shared" si="3"/>
        <v>0.7399999952260411</v>
      </c>
    </row>
    <row r="42" spans="19:20" x14ac:dyDescent="0.25">
      <c r="S42">
        <f t="shared" si="4"/>
        <v>8.0400000000000027</v>
      </c>
      <c r="T42">
        <f t="shared" si="3"/>
        <v>0.75999999644728644</v>
      </c>
    </row>
    <row r="43" spans="19:20" x14ac:dyDescent="0.25">
      <c r="S43">
        <f t="shared" si="4"/>
        <v>8.1200000000000028</v>
      </c>
      <c r="T43">
        <f t="shared" si="3"/>
        <v>0.77999999766853179</v>
      </c>
    </row>
    <row r="44" spans="19:20" x14ac:dyDescent="0.25">
      <c r="S44">
        <f t="shared" si="4"/>
        <v>8.2000000000000028</v>
      </c>
      <c r="T44">
        <f t="shared" si="3"/>
        <v>0.79999999333866201</v>
      </c>
    </row>
    <row r="45" spans="19:20" x14ac:dyDescent="0.25">
      <c r="S45">
        <f t="shared" si="4"/>
        <v>8.2800000000000029</v>
      </c>
      <c r="T45">
        <f t="shared" si="3"/>
        <v>0.81999999455990735</v>
      </c>
    </row>
    <row r="46" spans="19:20" x14ac:dyDescent="0.25">
      <c r="S46">
        <f t="shared" si="4"/>
        <v>8.360000000000003</v>
      </c>
      <c r="T46">
        <f t="shared" si="3"/>
        <v>0.8399999957811527</v>
      </c>
    </row>
    <row r="47" spans="19:20" x14ac:dyDescent="0.25">
      <c r="S47">
        <f t="shared" si="4"/>
        <v>8.4400000000000031</v>
      </c>
      <c r="T47">
        <f t="shared" si="3"/>
        <v>0.85999999700239793</v>
      </c>
    </row>
    <row r="48" spans="19:20" x14ac:dyDescent="0.25">
      <c r="S48">
        <f t="shared" si="4"/>
        <v>8.5200000000000031</v>
      </c>
      <c r="T48">
        <f t="shared" si="3"/>
        <v>0.87999999822364328</v>
      </c>
    </row>
    <row r="49" spans="19:20" x14ac:dyDescent="0.25">
      <c r="S49">
        <f t="shared" si="4"/>
        <v>8.6000000000000032</v>
      </c>
      <c r="T49">
        <f t="shared" si="3"/>
        <v>0.89999999944488851</v>
      </c>
    </row>
    <row r="50" spans="19:20" x14ac:dyDescent="0.25">
      <c r="S50">
        <f t="shared" si="4"/>
        <v>8.6800000000000033</v>
      </c>
      <c r="T50">
        <f t="shared" si="3"/>
        <v>0.91999999511501884</v>
      </c>
    </row>
    <row r="51" spans="19:20" x14ac:dyDescent="0.25">
      <c r="S51">
        <f t="shared" si="4"/>
        <v>8.7600000000000033</v>
      </c>
      <c r="T51">
        <f t="shared" si="3"/>
        <v>0.93999999633626419</v>
      </c>
    </row>
    <row r="52" spans="19:20" x14ac:dyDescent="0.25">
      <c r="S52">
        <f t="shared" si="4"/>
        <v>8.8400000000000034</v>
      </c>
      <c r="T52">
        <f t="shared" si="3"/>
        <v>0.95999999755750942</v>
      </c>
    </row>
    <row r="53" spans="19:20" x14ac:dyDescent="0.25">
      <c r="S53">
        <f t="shared" si="4"/>
        <v>8.9200000000000035</v>
      </c>
      <c r="T53">
        <f t="shared" si="3"/>
        <v>0.97999999877875477</v>
      </c>
    </row>
    <row r="54" spans="19:20" x14ac:dyDescent="0.25">
      <c r="S54">
        <f t="shared" si="4"/>
        <v>9.0000000000000036</v>
      </c>
      <c r="T54">
        <f t="shared" si="3"/>
        <v>1</v>
      </c>
    </row>
    <row r="55" spans="19:20" x14ac:dyDescent="0.25">
      <c r="S55">
        <f t="shared" si="4"/>
        <v>9.0800000000000036</v>
      </c>
      <c r="T55">
        <f t="shared" si="3"/>
        <v>1</v>
      </c>
    </row>
    <row r="56" spans="19:20" x14ac:dyDescent="0.25">
      <c r="S56">
        <f t="shared" si="4"/>
        <v>9.1600000000000037</v>
      </c>
      <c r="T56">
        <f t="shared" si="3"/>
        <v>1</v>
      </c>
    </row>
    <row r="57" spans="19:20" x14ac:dyDescent="0.25">
      <c r="S57">
        <f t="shared" si="4"/>
        <v>9.2400000000000038</v>
      </c>
      <c r="T57">
        <f t="shared" si="3"/>
        <v>1</v>
      </c>
    </row>
    <row r="58" spans="19:20" x14ac:dyDescent="0.25">
      <c r="S58">
        <f t="shared" si="4"/>
        <v>9.3200000000000038</v>
      </c>
      <c r="T58">
        <f t="shared" si="3"/>
        <v>1</v>
      </c>
    </row>
    <row r="59" spans="19:20" x14ac:dyDescent="0.25">
      <c r="S59">
        <f t="shared" si="4"/>
        <v>9.4000000000000039</v>
      </c>
      <c r="T59">
        <f t="shared" si="3"/>
        <v>1</v>
      </c>
    </row>
    <row r="60" spans="19:20" x14ac:dyDescent="0.25">
      <c r="S60">
        <f t="shared" si="4"/>
        <v>9.480000000000004</v>
      </c>
      <c r="T60">
        <f t="shared" si="3"/>
        <v>1</v>
      </c>
    </row>
    <row r="61" spans="19:20" x14ac:dyDescent="0.25">
      <c r="S61">
        <f t="shared" si="4"/>
        <v>9.5600000000000041</v>
      </c>
      <c r="T61">
        <f t="shared" si="3"/>
        <v>1</v>
      </c>
    </row>
    <row r="62" spans="19:20" x14ac:dyDescent="0.25">
      <c r="S62">
        <f t="shared" si="4"/>
        <v>9.6400000000000041</v>
      </c>
      <c r="T62">
        <f t="shared" si="3"/>
        <v>1</v>
      </c>
    </row>
    <row r="63" spans="19:20" x14ac:dyDescent="0.25">
      <c r="S63">
        <f t="shared" si="4"/>
        <v>9.7200000000000042</v>
      </c>
      <c r="T63">
        <f t="shared" si="3"/>
        <v>1</v>
      </c>
    </row>
    <row r="64" spans="19:20" x14ac:dyDescent="0.25">
      <c r="S64">
        <f t="shared" si="4"/>
        <v>9.8000000000000043</v>
      </c>
      <c r="T64">
        <f t="shared" si="3"/>
        <v>1</v>
      </c>
    </row>
    <row r="65" spans="19:20" x14ac:dyDescent="0.25">
      <c r="S65">
        <f t="shared" si="4"/>
        <v>9.8800000000000043</v>
      </c>
      <c r="T65">
        <f t="shared" si="3"/>
        <v>1</v>
      </c>
    </row>
    <row r="66" spans="19:20" x14ac:dyDescent="0.25">
      <c r="S66">
        <f t="shared" si="4"/>
        <v>9.9600000000000044</v>
      </c>
      <c r="T66">
        <f t="shared" si="3"/>
        <v>1</v>
      </c>
    </row>
    <row r="67" spans="19:20" x14ac:dyDescent="0.25">
      <c r="S67">
        <f t="shared" si="4"/>
        <v>10.040000000000004</v>
      </c>
      <c r="T67">
        <f t="shared" si="3"/>
        <v>1</v>
      </c>
    </row>
    <row r="68" spans="19:20" x14ac:dyDescent="0.25">
      <c r="S68">
        <f t="shared" si="4"/>
        <v>10.120000000000005</v>
      </c>
      <c r="T68">
        <f t="shared" si="3"/>
        <v>1</v>
      </c>
    </row>
    <row r="69" spans="19:20" x14ac:dyDescent="0.25">
      <c r="S69">
        <f t="shared" si="4"/>
        <v>10.200000000000005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10.280000000000005</v>
      </c>
      <c r="T70">
        <f t="shared" si="5"/>
        <v>1</v>
      </c>
    </row>
    <row r="71" spans="19:20" x14ac:dyDescent="0.25">
      <c r="S71">
        <f t="shared" si="6"/>
        <v>10.360000000000005</v>
      </c>
      <c r="T71">
        <f t="shared" si="5"/>
        <v>1</v>
      </c>
    </row>
    <row r="72" spans="19:20" x14ac:dyDescent="0.25">
      <c r="S72">
        <f t="shared" si="6"/>
        <v>10.440000000000005</v>
      </c>
      <c r="T72">
        <f t="shared" si="5"/>
        <v>1</v>
      </c>
    </row>
    <row r="73" spans="19:20" x14ac:dyDescent="0.25">
      <c r="S73">
        <f t="shared" si="6"/>
        <v>10.520000000000005</v>
      </c>
      <c r="T73">
        <f t="shared" si="5"/>
        <v>1</v>
      </c>
    </row>
    <row r="74" spans="19:20" x14ac:dyDescent="0.25">
      <c r="S74">
        <f t="shared" si="6"/>
        <v>10.600000000000005</v>
      </c>
      <c r="T74">
        <f t="shared" si="5"/>
        <v>1</v>
      </c>
    </row>
    <row r="75" spans="19:20" x14ac:dyDescent="0.25">
      <c r="S75">
        <f t="shared" si="6"/>
        <v>10.680000000000005</v>
      </c>
      <c r="T75">
        <f t="shared" si="5"/>
        <v>1</v>
      </c>
    </row>
    <row r="76" spans="19:20" x14ac:dyDescent="0.25">
      <c r="S76">
        <f t="shared" si="6"/>
        <v>10.760000000000005</v>
      </c>
      <c r="T76">
        <f t="shared" si="5"/>
        <v>1</v>
      </c>
    </row>
    <row r="77" spans="19:20" x14ac:dyDescent="0.25">
      <c r="S77">
        <f t="shared" si="6"/>
        <v>10.840000000000005</v>
      </c>
      <c r="T77">
        <f t="shared" si="5"/>
        <v>1</v>
      </c>
    </row>
    <row r="78" spans="19:20" x14ac:dyDescent="0.25">
      <c r="S78">
        <f t="shared" si="6"/>
        <v>10.920000000000005</v>
      </c>
      <c r="T78">
        <f t="shared" si="5"/>
        <v>1</v>
      </c>
    </row>
    <row r="79" spans="19:20" x14ac:dyDescent="0.25">
      <c r="S79">
        <f t="shared" si="6"/>
        <v>11.000000000000005</v>
      </c>
      <c r="T79">
        <f t="shared" si="5"/>
        <v>1</v>
      </c>
    </row>
    <row r="80" spans="19:20" x14ac:dyDescent="0.25">
      <c r="S80">
        <f t="shared" si="6"/>
        <v>11.080000000000005</v>
      </c>
      <c r="T80">
        <f t="shared" si="5"/>
        <v>1</v>
      </c>
    </row>
    <row r="81" spans="19:20" x14ac:dyDescent="0.25">
      <c r="S81">
        <f t="shared" si="6"/>
        <v>11.160000000000005</v>
      </c>
      <c r="T81">
        <f t="shared" si="5"/>
        <v>1</v>
      </c>
    </row>
    <row r="82" spans="19:20" x14ac:dyDescent="0.25">
      <c r="S82">
        <f t="shared" si="6"/>
        <v>11.240000000000006</v>
      </c>
      <c r="T82">
        <f t="shared" si="5"/>
        <v>1</v>
      </c>
    </row>
    <row r="83" spans="19:20" x14ac:dyDescent="0.25">
      <c r="S83">
        <f t="shared" si="6"/>
        <v>11.320000000000006</v>
      </c>
      <c r="T83">
        <f t="shared" si="5"/>
        <v>1</v>
      </c>
    </row>
    <row r="84" spans="19:20" x14ac:dyDescent="0.25">
      <c r="S84">
        <f t="shared" si="6"/>
        <v>11.400000000000006</v>
      </c>
      <c r="T84">
        <f t="shared" si="5"/>
        <v>1</v>
      </c>
    </row>
    <row r="85" spans="19:20" x14ac:dyDescent="0.25">
      <c r="S85">
        <f t="shared" si="6"/>
        <v>11.480000000000006</v>
      </c>
      <c r="T85">
        <f t="shared" si="5"/>
        <v>1</v>
      </c>
    </row>
    <row r="86" spans="19:20" x14ac:dyDescent="0.25">
      <c r="S86">
        <f t="shared" si="6"/>
        <v>11.560000000000006</v>
      </c>
      <c r="T86">
        <f t="shared" si="5"/>
        <v>1</v>
      </c>
    </row>
    <row r="87" spans="19:20" x14ac:dyDescent="0.25">
      <c r="S87">
        <f t="shared" si="6"/>
        <v>11.640000000000006</v>
      </c>
      <c r="T87">
        <f t="shared" si="5"/>
        <v>1</v>
      </c>
    </row>
    <row r="88" spans="19:20" x14ac:dyDescent="0.25">
      <c r="S88">
        <f t="shared" si="6"/>
        <v>11.720000000000006</v>
      </c>
      <c r="T88">
        <f t="shared" si="5"/>
        <v>1</v>
      </c>
    </row>
    <row r="89" spans="19:20" x14ac:dyDescent="0.25">
      <c r="S89">
        <f t="shared" si="6"/>
        <v>11.800000000000006</v>
      </c>
      <c r="T89">
        <f t="shared" si="5"/>
        <v>1</v>
      </c>
    </row>
    <row r="90" spans="19:20" x14ac:dyDescent="0.25">
      <c r="S90">
        <f t="shared" si="6"/>
        <v>11.880000000000006</v>
      </c>
      <c r="T90">
        <f t="shared" si="5"/>
        <v>1</v>
      </c>
    </row>
    <row r="91" spans="19:20" x14ac:dyDescent="0.25">
      <c r="S91">
        <f t="shared" si="6"/>
        <v>11.960000000000006</v>
      </c>
      <c r="T91">
        <f t="shared" si="5"/>
        <v>1</v>
      </c>
    </row>
    <row r="92" spans="19:20" x14ac:dyDescent="0.25">
      <c r="S92">
        <f t="shared" si="6"/>
        <v>12.040000000000006</v>
      </c>
      <c r="T92">
        <f t="shared" si="5"/>
        <v>1</v>
      </c>
    </row>
    <row r="93" spans="19:20" x14ac:dyDescent="0.25">
      <c r="S93">
        <f t="shared" si="6"/>
        <v>12.120000000000006</v>
      </c>
      <c r="T93">
        <f t="shared" si="5"/>
        <v>1</v>
      </c>
    </row>
    <row r="94" spans="19:20" x14ac:dyDescent="0.25">
      <c r="S94">
        <f t="shared" si="6"/>
        <v>12.200000000000006</v>
      </c>
      <c r="T94">
        <f t="shared" si="5"/>
        <v>1</v>
      </c>
    </row>
    <row r="95" spans="19:20" x14ac:dyDescent="0.25">
      <c r="S95">
        <f t="shared" si="6"/>
        <v>12.280000000000006</v>
      </c>
      <c r="T95">
        <f t="shared" si="5"/>
        <v>1</v>
      </c>
    </row>
    <row r="96" spans="19:20" x14ac:dyDescent="0.25">
      <c r="S96">
        <f t="shared" si="6"/>
        <v>12.360000000000007</v>
      </c>
      <c r="T96">
        <f t="shared" si="5"/>
        <v>1</v>
      </c>
    </row>
    <row r="97" spans="19:20" x14ac:dyDescent="0.25">
      <c r="S97">
        <f t="shared" si="6"/>
        <v>12.440000000000007</v>
      </c>
      <c r="T97">
        <f t="shared" si="5"/>
        <v>1</v>
      </c>
    </row>
    <row r="98" spans="19:20" x14ac:dyDescent="0.25">
      <c r="S98">
        <f t="shared" si="6"/>
        <v>12.520000000000007</v>
      </c>
      <c r="T98">
        <f t="shared" si="5"/>
        <v>1</v>
      </c>
    </row>
    <row r="99" spans="19:20" x14ac:dyDescent="0.25">
      <c r="S99">
        <f t="shared" si="6"/>
        <v>12.600000000000007</v>
      </c>
      <c r="T99">
        <f t="shared" si="5"/>
        <v>1</v>
      </c>
    </row>
    <row r="100" spans="19:20" x14ac:dyDescent="0.25">
      <c r="S100">
        <f t="shared" si="6"/>
        <v>12.680000000000007</v>
      </c>
      <c r="T100">
        <f t="shared" si="5"/>
        <v>1</v>
      </c>
    </row>
    <row r="101" spans="19:20" x14ac:dyDescent="0.25">
      <c r="S101">
        <f t="shared" si="6"/>
        <v>12.760000000000007</v>
      </c>
      <c r="T101">
        <f t="shared" si="5"/>
        <v>1</v>
      </c>
    </row>
    <row r="102" spans="19:20" x14ac:dyDescent="0.25">
      <c r="S102">
        <f t="shared" si="6"/>
        <v>12.840000000000007</v>
      </c>
      <c r="T102">
        <f t="shared" si="5"/>
        <v>1</v>
      </c>
    </row>
    <row r="103" spans="19:20" x14ac:dyDescent="0.25">
      <c r="S103">
        <f t="shared" si="6"/>
        <v>12.920000000000007</v>
      </c>
      <c r="T103">
        <f t="shared" si="5"/>
        <v>1</v>
      </c>
    </row>
    <row r="104" spans="19:20" x14ac:dyDescent="0.25">
      <c r="S104">
        <f t="shared" si="6"/>
        <v>13.000000000000007</v>
      </c>
      <c r="T104">
        <f t="shared" si="5"/>
        <v>1</v>
      </c>
    </row>
    <row r="105" spans="19:20" x14ac:dyDescent="0.25">
      <c r="S105">
        <f t="shared" si="6"/>
        <v>13.080000000000007</v>
      </c>
      <c r="T105">
        <f t="shared" si="5"/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16" sqref="P16"/>
    </sheetView>
  </sheetViews>
  <sheetFormatPr defaultRowHeight="15" x14ac:dyDescent="0.25"/>
  <cols>
    <col min="1" max="1" width="13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16" t="s">
        <v>190</v>
      </c>
      <c r="B1" s="16" t="s">
        <v>179</v>
      </c>
      <c r="P1" t="s">
        <v>182</v>
      </c>
      <c r="Q1" t="s">
        <v>183</v>
      </c>
    </row>
    <row r="2" spans="1:20" x14ac:dyDescent="0.25">
      <c r="A2">
        <v>150</v>
      </c>
      <c r="B2">
        <v>0</v>
      </c>
      <c r="P2" s="14">
        <f>(1-EXP($B$14*(A2-MIN($A$2:$A$12))^$B$15))/$B$16</f>
        <v>0</v>
      </c>
      <c r="Q2" s="14">
        <f>(P2-B2)^2</f>
        <v>0</v>
      </c>
    </row>
    <row r="3" spans="1:20" x14ac:dyDescent="0.25">
      <c r="A3">
        <v>160</v>
      </c>
      <c r="B3">
        <v>0.2</v>
      </c>
      <c r="P3" s="14">
        <f t="shared" ref="P3:P12" si="0">(1-EXP($B$14*(A3-MIN($A$2:$A$12))^$B$15))/$B$16</f>
        <v>0.20159627704554328</v>
      </c>
      <c r="Q3" s="14">
        <f t="shared" ref="Q3:Q12" si="1">(P3-B3)^2</f>
        <v>2.5481004061283528E-6</v>
      </c>
      <c r="S3" t="s">
        <v>185</v>
      </c>
      <c r="T3" t="s">
        <v>186</v>
      </c>
    </row>
    <row r="4" spans="1:20" x14ac:dyDescent="0.25">
      <c r="A4">
        <v>170</v>
      </c>
      <c r="B4">
        <v>0.4</v>
      </c>
      <c r="P4" s="14">
        <f t="shared" si="0"/>
        <v>0.33005735002348052</v>
      </c>
      <c r="Q4" s="14">
        <f t="shared" si="1"/>
        <v>4.8919742857379232E-3</v>
      </c>
      <c r="S4">
        <f>MIN(A2:A12)</f>
        <v>150</v>
      </c>
      <c r="T4">
        <f>IF(S4&lt;=MIN($A$2:$A$12),0,IF(S4&gt;=MAX($A$2:$A$12),1,(1/$B$16)*(1-EXP($B$14*(S4-MIN($A$2:$A$12))^$B$15))))</f>
        <v>0</v>
      </c>
    </row>
    <row r="5" spans="1:20" x14ac:dyDescent="0.25">
      <c r="A5">
        <v>200</v>
      </c>
      <c r="B5">
        <v>0.5</v>
      </c>
      <c r="P5" s="14">
        <f t="shared" si="0"/>
        <v>0.58329949431084305</v>
      </c>
      <c r="Q5" s="14">
        <f t="shared" si="1"/>
        <v>6.938805752442173E-3</v>
      </c>
      <c r="S5">
        <f>S4+(MAX($A$2:$A$12)-$S$4)/50</f>
        <v>154</v>
      </c>
      <c r="T5">
        <f t="shared" ref="T5:T68" si="2">IF(S5&lt;=MIN($A$2:$A$12),0,IF(S5&gt;=MAX($A$2:$A$12),1,(1/$B$16)*(1-EXP($B$14*(S5-MIN($A$2:$A$12))^$B$15))))</f>
        <v>0.1004744355239643</v>
      </c>
    </row>
    <row r="6" spans="1:20" x14ac:dyDescent="0.25">
      <c r="A6">
        <v>210</v>
      </c>
      <c r="B6">
        <v>0.6</v>
      </c>
      <c r="P6" s="14">
        <f t="shared" si="0"/>
        <v>0.64267965401749605</v>
      </c>
      <c r="Q6" s="14">
        <f t="shared" si="1"/>
        <v>1.8215528670531686E-3</v>
      </c>
      <c r="S6">
        <f t="shared" ref="S6:S69" si="3">S5+(MAX($A$2:$A$12)-$S$4)/50</f>
        <v>158</v>
      </c>
      <c r="T6">
        <f t="shared" si="2"/>
        <v>0.1707705312357877</v>
      </c>
    </row>
    <row r="7" spans="1:20" x14ac:dyDescent="0.25">
      <c r="A7">
        <v>225</v>
      </c>
      <c r="B7">
        <v>0.7</v>
      </c>
      <c r="P7" s="14">
        <f t="shared" si="0"/>
        <v>0.71685155074987228</v>
      </c>
      <c r="Q7" s="14">
        <f t="shared" si="1"/>
        <v>2.839747626755225E-4</v>
      </c>
      <c r="S7">
        <f t="shared" si="3"/>
        <v>162</v>
      </c>
      <c r="T7">
        <f t="shared" si="2"/>
        <v>0.23034360858717845</v>
      </c>
    </row>
    <row r="8" spans="1:20" x14ac:dyDescent="0.25">
      <c r="A8">
        <v>240</v>
      </c>
      <c r="B8">
        <v>0.8</v>
      </c>
      <c r="P8" s="14">
        <f t="shared" si="0"/>
        <v>0.77716857041826548</v>
      </c>
      <c r="Q8" s="14">
        <f t="shared" si="1"/>
        <v>5.2127417674570407E-4</v>
      </c>
      <c r="S8">
        <f t="shared" si="3"/>
        <v>166</v>
      </c>
      <c r="T8">
        <f t="shared" si="2"/>
        <v>0.2828568389910977</v>
      </c>
    </row>
    <row r="9" spans="1:20" x14ac:dyDescent="0.25">
      <c r="A9">
        <v>255</v>
      </c>
      <c r="B9">
        <v>0.85</v>
      </c>
      <c r="P9" s="14">
        <f t="shared" si="0"/>
        <v>0.82680739690877592</v>
      </c>
      <c r="Q9" s="14">
        <f t="shared" si="1"/>
        <v>5.3789683814705594E-4</v>
      </c>
      <c r="S9">
        <f t="shared" si="3"/>
        <v>170</v>
      </c>
      <c r="T9">
        <f t="shared" si="2"/>
        <v>0.33005735002348052</v>
      </c>
    </row>
    <row r="10" spans="1:20" x14ac:dyDescent="0.25">
      <c r="A10">
        <v>260</v>
      </c>
      <c r="B10">
        <v>0.9</v>
      </c>
      <c r="P10" s="14">
        <f t="shared" si="0"/>
        <v>0.84139098261057754</v>
      </c>
      <c r="Q10" s="14">
        <f t="shared" si="1"/>
        <v>3.4350169193536266E-3</v>
      </c>
      <c r="S10">
        <f t="shared" si="3"/>
        <v>174</v>
      </c>
      <c r="T10">
        <f t="shared" si="2"/>
        <v>0.37299167789759291</v>
      </c>
    </row>
    <row r="11" spans="1:20" x14ac:dyDescent="0.25">
      <c r="A11">
        <v>295</v>
      </c>
      <c r="B11">
        <v>0.95</v>
      </c>
      <c r="P11" s="14">
        <f t="shared" si="0"/>
        <v>0.92239868781835044</v>
      </c>
      <c r="Q11" s="14">
        <f t="shared" si="1"/>
        <v>7.6183243414887402E-4</v>
      </c>
      <c r="S11">
        <f t="shared" si="3"/>
        <v>178</v>
      </c>
      <c r="T11">
        <f t="shared" si="2"/>
        <v>0.41236590475225887</v>
      </c>
    </row>
    <row r="12" spans="1:20" x14ac:dyDescent="0.25">
      <c r="A12">
        <v>350</v>
      </c>
      <c r="B12">
        <v>1</v>
      </c>
      <c r="P12" s="14">
        <f t="shared" si="0"/>
        <v>1</v>
      </c>
      <c r="Q12" s="14">
        <f t="shared" si="1"/>
        <v>0</v>
      </c>
      <c r="S12">
        <f t="shared" si="3"/>
        <v>182</v>
      </c>
      <c r="T12">
        <f t="shared" si="2"/>
        <v>0.44869289771608123</v>
      </c>
    </row>
    <row r="13" spans="1:20" x14ac:dyDescent="0.25">
      <c r="S13">
        <f t="shared" si="3"/>
        <v>186</v>
      </c>
      <c r="T13">
        <f t="shared" si="2"/>
        <v>0.48236435758810969</v>
      </c>
    </row>
    <row r="14" spans="1:20" x14ac:dyDescent="0.25">
      <c r="A14" t="s">
        <v>180</v>
      </c>
      <c r="B14" s="15">
        <v>-3.0602235829904879E-2</v>
      </c>
      <c r="O14" t="s">
        <v>184</v>
      </c>
      <c r="Q14" s="14">
        <f>SUM(Q2:Q12)</f>
        <v>1.9194876136710174E-2</v>
      </c>
      <c r="S14">
        <f t="shared" si="3"/>
        <v>190</v>
      </c>
      <c r="T14">
        <f t="shared" si="2"/>
        <v>0.51369048538843232</v>
      </c>
    </row>
    <row r="15" spans="1:20" x14ac:dyDescent="0.25">
      <c r="A15" t="s">
        <v>188</v>
      </c>
      <c r="B15" s="14">
        <v>0.8161525932857765</v>
      </c>
      <c r="S15">
        <f t="shared" si="3"/>
        <v>194</v>
      </c>
      <c r="T15">
        <f t="shared" si="2"/>
        <v>0.5429237381183335</v>
      </c>
    </row>
    <row r="16" spans="1:20" x14ac:dyDescent="0.25">
      <c r="A16" t="s">
        <v>181</v>
      </c>
      <c r="B16" s="14">
        <f>1-EXP($B$14*(MAX($A$2:$A$12)-MIN($A$2:$A$12))^$B$15)</f>
        <v>0.90080883581225202</v>
      </c>
      <c r="S16">
        <f t="shared" si="3"/>
        <v>198</v>
      </c>
      <c r="T16">
        <f t="shared" si="2"/>
        <v>0.57027398675194896</v>
      </c>
    </row>
    <row r="17" spans="19:20" x14ac:dyDescent="0.25">
      <c r="S17">
        <f t="shared" si="3"/>
        <v>202</v>
      </c>
      <c r="T17">
        <f t="shared" si="2"/>
        <v>0.5959186797796604</v>
      </c>
    </row>
    <row r="18" spans="19:20" x14ac:dyDescent="0.25">
      <c r="S18">
        <f t="shared" si="3"/>
        <v>206</v>
      </c>
      <c r="T18">
        <f t="shared" si="2"/>
        <v>0.62000993518177838</v>
      </c>
    </row>
    <row r="19" spans="19:20" x14ac:dyDescent="0.25">
      <c r="S19">
        <f t="shared" si="3"/>
        <v>210</v>
      </c>
      <c r="T19">
        <f t="shared" si="2"/>
        <v>0.64267965401749594</v>
      </c>
    </row>
    <row r="20" spans="19:20" x14ac:dyDescent="0.25">
      <c r="S20">
        <f t="shared" si="3"/>
        <v>214</v>
      </c>
      <c r="T20">
        <f t="shared" si="2"/>
        <v>0.66404331002643624</v>
      </c>
    </row>
    <row r="21" spans="19:20" x14ac:dyDescent="0.25">
      <c r="S21">
        <f t="shared" si="3"/>
        <v>218</v>
      </c>
      <c r="T21">
        <f t="shared" si="2"/>
        <v>0.68420282415644862</v>
      </c>
    </row>
    <row r="22" spans="19:20" x14ac:dyDescent="0.25">
      <c r="S22">
        <f t="shared" si="3"/>
        <v>222</v>
      </c>
      <c r="T22">
        <f t="shared" si="2"/>
        <v>0.70324878898504817</v>
      </c>
    </row>
    <row r="23" spans="19:20" x14ac:dyDescent="0.25">
      <c r="S23">
        <f t="shared" si="3"/>
        <v>226</v>
      </c>
      <c r="T23">
        <f t="shared" si="2"/>
        <v>0.72126222015901387</v>
      </c>
    </row>
    <row r="24" spans="19:20" x14ac:dyDescent="0.25">
      <c r="S24">
        <f t="shared" si="3"/>
        <v>230</v>
      </c>
      <c r="T24">
        <f t="shared" si="2"/>
        <v>0.73831595649840676</v>
      </c>
    </row>
    <row r="25" spans="19:20" x14ac:dyDescent="0.25">
      <c r="S25">
        <f t="shared" si="3"/>
        <v>234</v>
      </c>
      <c r="T25">
        <f t="shared" si="2"/>
        <v>0.75447579431077649</v>
      </c>
    </row>
    <row r="26" spans="19:20" x14ac:dyDescent="0.25">
      <c r="S26">
        <f t="shared" si="3"/>
        <v>238</v>
      </c>
      <c r="T26">
        <f t="shared" si="2"/>
        <v>0.76980141734555207</v>
      </c>
    </row>
    <row r="27" spans="19:20" x14ac:dyDescent="0.25">
      <c r="S27">
        <f t="shared" si="3"/>
        <v>242</v>
      </c>
      <c r="T27">
        <f t="shared" si="2"/>
        <v>0.78434716732994669</v>
      </c>
    </row>
    <row r="28" spans="19:20" x14ac:dyDescent="0.25">
      <c r="S28">
        <f t="shared" si="3"/>
        <v>246</v>
      </c>
      <c r="T28">
        <f t="shared" si="2"/>
        <v>0.79816268851763972</v>
      </c>
    </row>
    <row r="29" spans="19:20" x14ac:dyDescent="0.25">
      <c r="S29">
        <f t="shared" si="3"/>
        <v>250</v>
      </c>
      <c r="T29">
        <f t="shared" si="2"/>
        <v>0.8112934714957416</v>
      </c>
    </row>
    <row r="30" spans="19:20" x14ac:dyDescent="0.25">
      <c r="S30">
        <f t="shared" si="3"/>
        <v>254</v>
      </c>
      <c r="T30">
        <f t="shared" si="2"/>
        <v>0.8237813155752528</v>
      </c>
    </row>
    <row r="31" spans="19:20" x14ac:dyDescent="0.25">
      <c r="S31">
        <f t="shared" si="3"/>
        <v>258</v>
      </c>
      <c r="T31">
        <f t="shared" si="2"/>
        <v>0.83566472474255948</v>
      </c>
    </row>
    <row r="32" spans="19:20" x14ac:dyDescent="0.25">
      <c r="S32">
        <f t="shared" si="3"/>
        <v>262</v>
      </c>
      <c r="T32">
        <f t="shared" si="2"/>
        <v>0.84697924891195164</v>
      </c>
    </row>
    <row r="33" spans="19:20" x14ac:dyDescent="0.25">
      <c r="S33">
        <f t="shared" si="3"/>
        <v>266</v>
      </c>
      <c r="T33">
        <f t="shared" si="2"/>
        <v>0.85775777977740109</v>
      </c>
    </row>
    <row r="34" spans="19:20" x14ac:dyDescent="0.25">
      <c r="S34">
        <f t="shared" si="3"/>
        <v>270</v>
      </c>
      <c r="T34">
        <f t="shared" si="2"/>
        <v>0.8680308086985199</v>
      </c>
    </row>
    <row r="35" spans="19:20" x14ac:dyDescent="0.25">
      <c r="S35">
        <f t="shared" si="3"/>
        <v>274</v>
      </c>
      <c r="T35">
        <f t="shared" si="2"/>
        <v>0.87782665261834436</v>
      </c>
    </row>
    <row r="36" spans="19:20" x14ac:dyDescent="0.25">
      <c r="S36">
        <f t="shared" si="3"/>
        <v>278</v>
      </c>
      <c r="T36">
        <f t="shared" si="2"/>
        <v>0.88717165289077171</v>
      </c>
    </row>
    <row r="37" spans="19:20" x14ac:dyDescent="0.25">
      <c r="S37">
        <f t="shared" si="3"/>
        <v>282</v>
      </c>
      <c r="T37">
        <f t="shared" si="2"/>
        <v>0.89609035101489964</v>
      </c>
    </row>
    <row r="38" spans="19:20" x14ac:dyDescent="0.25">
      <c r="S38">
        <f t="shared" si="3"/>
        <v>286</v>
      </c>
      <c r="T38">
        <f t="shared" si="2"/>
        <v>0.90460564457506332</v>
      </c>
    </row>
    <row r="39" spans="19:20" x14ac:dyDescent="0.25">
      <c r="S39">
        <f t="shared" si="3"/>
        <v>290</v>
      </c>
      <c r="T39">
        <f t="shared" si="2"/>
        <v>0.91273892612692087</v>
      </c>
    </row>
    <row r="40" spans="19:20" x14ac:dyDescent="0.25">
      <c r="S40">
        <f t="shared" si="3"/>
        <v>294</v>
      </c>
      <c r="T40">
        <f t="shared" si="2"/>
        <v>0.92051020732004463</v>
      </c>
    </row>
    <row r="41" spans="19:20" x14ac:dyDescent="0.25">
      <c r="S41">
        <f t="shared" si="3"/>
        <v>298</v>
      </c>
      <c r="T41">
        <f t="shared" si="2"/>
        <v>0.92793823018248711</v>
      </c>
    </row>
    <row r="42" spans="19:20" x14ac:dyDescent="0.25">
      <c r="S42">
        <f t="shared" si="3"/>
        <v>302</v>
      </c>
      <c r="T42">
        <f t="shared" si="2"/>
        <v>0.9350405671947476</v>
      </c>
    </row>
    <row r="43" spans="19:20" x14ac:dyDescent="0.25">
      <c r="S43">
        <f t="shared" si="3"/>
        <v>306</v>
      </c>
      <c r="T43">
        <f t="shared" si="2"/>
        <v>0.94183371153561313</v>
      </c>
    </row>
    <row r="44" spans="19:20" x14ac:dyDescent="0.25">
      <c r="S44">
        <f t="shared" si="3"/>
        <v>310</v>
      </c>
      <c r="T44">
        <f t="shared" si="2"/>
        <v>0.9483331586799314</v>
      </c>
    </row>
    <row r="45" spans="19:20" x14ac:dyDescent="0.25">
      <c r="S45">
        <f t="shared" si="3"/>
        <v>314</v>
      </c>
      <c r="T45">
        <f t="shared" si="2"/>
        <v>0.95455348036010379</v>
      </c>
    </row>
    <row r="46" spans="19:20" x14ac:dyDescent="0.25">
      <c r="S46">
        <f t="shared" si="3"/>
        <v>318</v>
      </c>
      <c r="T46">
        <f t="shared" si="2"/>
        <v>0.96050839176252467</v>
      </c>
    </row>
    <row r="47" spans="19:20" x14ac:dyDescent="0.25">
      <c r="S47">
        <f t="shared" si="3"/>
        <v>322</v>
      </c>
      <c r="T47">
        <f t="shared" si="2"/>
        <v>0.96621081271218801</v>
      </c>
    </row>
    <row r="48" spans="19:20" x14ac:dyDescent="0.25">
      <c r="S48">
        <f t="shared" si="3"/>
        <v>326</v>
      </c>
      <c r="T48">
        <f t="shared" si="2"/>
        <v>0.97167292349911494</v>
      </c>
    </row>
    <row r="49" spans="19:20" x14ac:dyDescent="0.25">
      <c r="S49">
        <f t="shared" si="3"/>
        <v>330</v>
      </c>
      <c r="T49">
        <f t="shared" si="2"/>
        <v>0.97690621591594062</v>
      </c>
    </row>
    <row r="50" spans="19:20" x14ac:dyDescent="0.25">
      <c r="S50">
        <f t="shared" si="3"/>
        <v>334</v>
      </c>
      <c r="T50">
        <f t="shared" si="2"/>
        <v>0.98192154000421705</v>
      </c>
    </row>
    <row r="51" spans="19:20" x14ac:dyDescent="0.25">
      <c r="S51">
        <f t="shared" si="3"/>
        <v>338</v>
      </c>
      <c r="T51">
        <f t="shared" si="2"/>
        <v>0.98672914694571212</v>
      </c>
    </row>
    <row r="52" spans="19:20" x14ac:dyDescent="0.25">
      <c r="S52">
        <f t="shared" si="3"/>
        <v>342</v>
      </c>
      <c r="T52">
        <f t="shared" si="2"/>
        <v>0.99133872848240556</v>
      </c>
    </row>
    <row r="53" spans="19:20" x14ac:dyDescent="0.25">
      <c r="S53">
        <f t="shared" si="3"/>
        <v>346</v>
      </c>
      <c r="T53">
        <f t="shared" si="2"/>
        <v>0.99575945320366344</v>
      </c>
    </row>
    <row r="54" spans="19:20" x14ac:dyDescent="0.25">
      <c r="S54">
        <f t="shared" si="3"/>
        <v>350</v>
      </c>
      <c r="T54">
        <f t="shared" si="2"/>
        <v>1</v>
      </c>
    </row>
    <row r="55" spans="19:20" x14ac:dyDescent="0.25">
      <c r="S55">
        <f t="shared" si="3"/>
        <v>354</v>
      </c>
      <c r="T55">
        <f t="shared" si="2"/>
        <v>1</v>
      </c>
    </row>
    <row r="56" spans="19:20" x14ac:dyDescent="0.25">
      <c r="S56">
        <f t="shared" si="3"/>
        <v>358</v>
      </c>
      <c r="T56">
        <f t="shared" si="2"/>
        <v>1</v>
      </c>
    </row>
    <row r="57" spans="19:20" x14ac:dyDescent="0.25">
      <c r="S57">
        <f t="shared" si="3"/>
        <v>362</v>
      </c>
      <c r="T57">
        <f t="shared" si="2"/>
        <v>1</v>
      </c>
    </row>
    <row r="58" spans="19:20" x14ac:dyDescent="0.25">
      <c r="S58">
        <f t="shared" si="3"/>
        <v>366</v>
      </c>
      <c r="T58">
        <f t="shared" si="2"/>
        <v>1</v>
      </c>
    </row>
    <row r="59" spans="19:20" x14ac:dyDescent="0.25">
      <c r="S59">
        <f t="shared" si="3"/>
        <v>370</v>
      </c>
      <c r="T59">
        <f t="shared" si="2"/>
        <v>1</v>
      </c>
    </row>
    <row r="60" spans="19:20" x14ac:dyDescent="0.25">
      <c r="S60">
        <f t="shared" si="3"/>
        <v>374</v>
      </c>
      <c r="T60">
        <f t="shared" si="2"/>
        <v>1</v>
      </c>
    </row>
    <row r="61" spans="19:20" x14ac:dyDescent="0.25">
      <c r="S61">
        <f t="shared" si="3"/>
        <v>378</v>
      </c>
      <c r="T61">
        <f t="shared" si="2"/>
        <v>1</v>
      </c>
    </row>
    <row r="62" spans="19:20" x14ac:dyDescent="0.25">
      <c r="S62">
        <f t="shared" si="3"/>
        <v>382</v>
      </c>
      <c r="T62">
        <f t="shared" si="2"/>
        <v>1</v>
      </c>
    </row>
    <row r="63" spans="19:20" x14ac:dyDescent="0.25">
      <c r="S63">
        <f t="shared" si="3"/>
        <v>386</v>
      </c>
      <c r="T63">
        <f t="shared" si="2"/>
        <v>1</v>
      </c>
    </row>
    <row r="64" spans="19:20" x14ac:dyDescent="0.25">
      <c r="S64">
        <f t="shared" si="3"/>
        <v>390</v>
      </c>
      <c r="T64">
        <f t="shared" si="2"/>
        <v>1</v>
      </c>
    </row>
    <row r="65" spans="19:20" x14ac:dyDescent="0.25">
      <c r="S65">
        <f t="shared" si="3"/>
        <v>394</v>
      </c>
      <c r="T65">
        <f t="shared" si="2"/>
        <v>1</v>
      </c>
    </row>
    <row r="66" spans="19:20" x14ac:dyDescent="0.25">
      <c r="S66">
        <f t="shared" si="3"/>
        <v>398</v>
      </c>
      <c r="T66">
        <f t="shared" si="2"/>
        <v>1</v>
      </c>
    </row>
    <row r="67" spans="19:20" x14ac:dyDescent="0.25">
      <c r="S67">
        <f t="shared" si="3"/>
        <v>402</v>
      </c>
      <c r="T67">
        <f t="shared" si="2"/>
        <v>1</v>
      </c>
    </row>
    <row r="68" spans="19:20" x14ac:dyDescent="0.25">
      <c r="S68">
        <f t="shared" si="3"/>
        <v>406</v>
      </c>
      <c r="T68">
        <f t="shared" si="2"/>
        <v>1</v>
      </c>
    </row>
    <row r="69" spans="19:20" x14ac:dyDescent="0.25">
      <c r="S69">
        <f t="shared" si="3"/>
        <v>410</v>
      </c>
      <c r="T69">
        <f t="shared" ref="T69:T105" si="4">IF(S69&lt;=MIN($A$2:$A$12),0,IF(S69&gt;=MAX($A$2:$A$12),1,(1/$B$16)*(1-EXP($B$14*(S69-MIN($A$2:$A$12))^$B$15))))</f>
        <v>1</v>
      </c>
    </row>
    <row r="70" spans="19:20" x14ac:dyDescent="0.25">
      <c r="S70">
        <f t="shared" ref="S70:S105" si="5">S69+(MAX($A$2:$A$12)-$S$4)/50</f>
        <v>414</v>
      </c>
      <c r="T70">
        <f t="shared" si="4"/>
        <v>1</v>
      </c>
    </row>
    <row r="71" spans="19:20" x14ac:dyDescent="0.25">
      <c r="S71">
        <f t="shared" si="5"/>
        <v>418</v>
      </c>
      <c r="T71">
        <f t="shared" si="4"/>
        <v>1</v>
      </c>
    </row>
    <row r="72" spans="19:20" x14ac:dyDescent="0.25">
      <c r="S72">
        <f t="shared" si="5"/>
        <v>422</v>
      </c>
      <c r="T72">
        <f t="shared" si="4"/>
        <v>1</v>
      </c>
    </row>
    <row r="73" spans="19:20" x14ac:dyDescent="0.25">
      <c r="S73">
        <f t="shared" si="5"/>
        <v>426</v>
      </c>
      <c r="T73">
        <f t="shared" si="4"/>
        <v>1</v>
      </c>
    </row>
    <row r="74" spans="19:20" x14ac:dyDescent="0.25">
      <c r="S74">
        <f t="shared" si="5"/>
        <v>430</v>
      </c>
      <c r="T74">
        <f t="shared" si="4"/>
        <v>1</v>
      </c>
    </row>
    <row r="75" spans="19:20" x14ac:dyDescent="0.25">
      <c r="S75">
        <f t="shared" si="5"/>
        <v>434</v>
      </c>
      <c r="T75">
        <f t="shared" si="4"/>
        <v>1</v>
      </c>
    </row>
    <row r="76" spans="19:20" x14ac:dyDescent="0.25">
      <c r="S76">
        <f t="shared" si="5"/>
        <v>438</v>
      </c>
      <c r="T76">
        <f t="shared" si="4"/>
        <v>1</v>
      </c>
    </row>
    <row r="77" spans="19:20" x14ac:dyDescent="0.25">
      <c r="S77">
        <f t="shared" si="5"/>
        <v>442</v>
      </c>
      <c r="T77">
        <f t="shared" si="4"/>
        <v>1</v>
      </c>
    </row>
    <row r="78" spans="19:20" x14ac:dyDescent="0.25">
      <c r="S78">
        <f t="shared" si="5"/>
        <v>446</v>
      </c>
      <c r="T78">
        <f t="shared" si="4"/>
        <v>1</v>
      </c>
    </row>
    <row r="79" spans="19:20" x14ac:dyDescent="0.25">
      <c r="S79">
        <f t="shared" si="5"/>
        <v>450</v>
      </c>
      <c r="T79">
        <f t="shared" si="4"/>
        <v>1</v>
      </c>
    </row>
    <row r="80" spans="19:20" x14ac:dyDescent="0.25">
      <c r="S80">
        <f t="shared" si="5"/>
        <v>454</v>
      </c>
      <c r="T80">
        <f t="shared" si="4"/>
        <v>1</v>
      </c>
    </row>
    <row r="81" spans="19:20" x14ac:dyDescent="0.25">
      <c r="S81">
        <f t="shared" si="5"/>
        <v>458</v>
      </c>
      <c r="T81">
        <f t="shared" si="4"/>
        <v>1</v>
      </c>
    </row>
    <row r="82" spans="19:20" x14ac:dyDescent="0.25">
      <c r="S82">
        <f t="shared" si="5"/>
        <v>462</v>
      </c>
      <c r="T82">
        <f t="shared" si="4"/>
        <v>1</v>
      </c>
    </row>
    <row r="83" spans="19:20" x14ac:dyDescent="0.25">
      <c r="S83">
        <f t="shared" si="5"/>
        <v>466</v>
      </c>
      <c r="T83">
        <f t="shared" si="4"/>
        <v>1</v>
      </c>
    </row>
    <row r="84" spans="19:20" x14ac:dyDescent="0.25">
      <c r="S84">
        <f t="shared" si="5"/>
        <v>470</v>
      </c>
      <c r="T84">
        <f t="shared" si="4"/>
        <v>1</v>
      </c>
    </row>
    <row r="85" spans="19:20" x14ac:dyDescent="0.25">
      <c r="S85">
        <f t="shared" si="5"/>
        <v>474</v>
      </c>
      <c r="T85">
        <f t="shared" si="4"/>
        <v>1</v>
      </c>
    </row>
    <row r="86" spans="19:20" x14ac:dyDescent="0.25">
      <c r="S86">
        <f t="shared" si="5"/>
        <v>478</v>
      </c>
      <c r="T86">
        <f t="shared" si="4"/>
        <v>1</v>
      </c>
    </row>
    <row r="87" spans="19:20" x14ac:dyDescent="0.25">
      <c r="S87">
        <f t="shared" si="5"/>
        <v>482</v>
      </c>
      <c r="T87">
        <f t="shared" si="4"/>
        <v>1</v>
      </c>
    </row>
    <row r="88" spans="19:20" x14ac:dyDescent="0.25">
      <c r="S88">
        <f t="shared" si="5"/>
        <v>486</v>
      </c>
      <c r="T88">
        <f t="shared" si="4"/>
        <v>1</v>
      </c>
    </row>
    <row r="89" spans="19:20" x14ac:dyDescent="0.25">
      <c r="S89">
        <f t="shared" si="5"/>
        <v>490</v>
      </c>
      <c r="T89">
        <f t="shared" si="4"/>
        <v>1</v>
      </c>
    </row>
    <row r="90" spans="19:20" x14ac:dyDescent="0.25">
      <c r="S90">
        <f t="shared" si="5"/>
        <v>494</v>
      </c>
      <c r="T90">
        <f t="shared" si="4"/>
        <v>1</v>
      </c>
    </row>
    <row r="91" spans="19:20" x14ac:dyDescent="0.25">
      <c r="S91">
        <f t="shared" si="5"/>
        <v>498</v>
      </c>
      <c r="T91">
        <f t="shared" si="4"/>
        <v>1</v>
      </c>
    </row>
    <row r="92" spans="19:20" x14ac:dyDescent="0.25">
      <c r="S92">
        <f t="shared" si="5"/>
        <v>502</v>
      </c>
      <c r="T92">
        <f t="shared" si="4"/>
        <v>1</v>
      </c>
    </row>
    <row r="93" spans="19:20" x14ac:dyDescent="0.25">
      <c r="S93">
        <f t="shared" si="5"/>
        <v>506</v>
      </c>
      <c r="T93">
        <f t="shared" si="4"/>
        <v>1</v>
      </c>
    </row>
    <row r="94" spans="19:20" x14ac:dyDescent="0.25">
      <c r="S94">
        <f t="shared" si="5"/>
        <v>510</v>
      </c>
      <c r="T94">
        <f t="shared" si="4"/>
        <v>1</v>
      </c>
    </row>
    <row r="95" spans="19:20" x14ac:dyDescent="0.25">
      <c r="S95">
        <f t="shared" si="5"/>
        <v>514</v>
      </c>
      <c r="T95">
        <f t="shared" si="4"/>
        <v>1</v>
      </c>
    </row>
    <row r="96" spans="19:20" x14ac:dyDescent="0.25">
      <c r="S96">
        <f t="shared" si="5"/>
        <v>518</v>
      </c>
      <c r="T96">
        <f t="shared" si="4"/>
        <v>1</v>
      </c>
    </row>
    <row r="97" spans="19:20" x14ac:dyDescent="0.25">
      <c r="S97">
        <f t="shared" si="5"/>
        <v>522</v>
      </c>
      <c r="T97">
        <f t="shared" si="4"/>
        <v>1</v>
      </c>
    </row>
    <row r="98" spans="19:20" x14ac:dyDescent="0.25">
      <c r="S98">
        <f t="shared" si="5"/>
        <v>526</v>
      </c>
      <c r="T98">
        <f t="shared" si="4"/>
        <v>1</v>
      </c>
    </row>
    <row r="99" spans="19:20" x14ac:dyDescent="0.25">
      <c r="S99">
        <f t="shared" si="5"/>
        <v>530</v>
      </c>
      <c r="T99">
        <f t="shared" si="4"/>
        <v>1</v>
      </c>
    </row>
    <row r="100" spans="19:20" x14ac:dyDescent="0.25">
      <c r="S100">
        <f t="shared" si="5"/>
        <v>534</v>
      </c>
      <c r="T100">
        <f t="shared" si="4"/>
        <v>1</v>
      </c>
    </row>
    <row r="101" spans="19:20" x14ac:dyDescent="0.25">
      <c r="S101">
        <f t="shared" si="5"/>
        <v>538</v>
      </c>
      <c r="T101">
        <f t="shared" si="4"/>
        <v>1</v>
      </c>
    </row>
    <row r="102" spans="19:20" x14ac:dyDescent="0.25">
      <c r="S102">
        <f t="shared" si="5"/>
        <v>542</v>
      </c>
      <c r="T102">
        <f t="shared" si="4"/>
        <v>1</v>
      </c>
    </row>
    <row r="103" spans="19:20" x14ac:dyDescent="0.25">
      <c r="S103">
        <f t="shared" si="5"/>
        <v>546</v>
      </c>
      <c r="T103">
        <f t="shared" si="4"/>
        <v>1</v>
      </c>
    </row>
    <row r="104" spans="19:20" x14ac:dyDescent="0.25">
      <c r="S104">
        <f t="shared" si="5"/>
        <v>550</v>
      </c>
      <c r="T104">
        <f t="shared" si="4"/>
        <v>1</v>
      </c>
    </row>
    <row r="105" spans="19:20" x14ac:dyDescent="0.25">
      <c r="S105">
        <f t="shared" si="5"/>
        <v>554</v>
      </c>
      <c r="T105">
        <f t="shared" si="4"/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B1" workbookViewId="0">
      <selection activeCell="P5" sqref="P5"/>
    </sheetView>
  </sheetViews>
  <sheetFormatPr defaultRowHeight="15" x14ac:dyDescent="0.25"/>
  <cols>
    <col min="1" max="1" width="13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16" t="s">
        <v>191</v>
      </c>
      <c r="B1" s="16" t="s">
        <v>179</v>
      </c>
      <c r="P1" t="s">
        <v>182</v>
      </c>
      <c r="Q1" t="s">
        <v>183</v>
      </c>
    </row>
    <row r="2" spans="1:20" x14ac:dyDescent="0.25">
      <c r="A2">
        <v>50</v>
      </c>
      <c r="B2">
        <v>0</v>
      </c>
      <c r="P2" s="14">
        <f>(1-EXP($B$14*(A2-MIN($A$2:$A$12))^$B$15))/$B$16</f>
        <v>0</v>
      </c>
      <c r="Q2" s="14">
        <f>(P2-B2)^2</f>
        <v>0</v>
      </c>
    </row>
    <row r="3" spans="1:20" x14ac:dyDescent="0.25">
      <c r="A3">
        <f>A$2+B3*($A$12-$A$2)</f>
        <v>100</v>
      </c>
      <c r="B3">
        <v>0.2</v>
      </c>
      <c r="P3" s="14">
        <f t="shared" ref="P3:P12" si="0">(1-EXP($B$14*(A3-MIN($A$2:$A$12))^$B$15))/$B$16</f>
        <v>0.20000019998250296</v>
      </c>
      <c r="Q3" s="14">
        <f t="shared" ref="Q3:Q12" si="1">(P3-B3)^2</f>
        <v>3.9993001484704562E-14</v>
      </c>
      <c r="S3" t="s">
        <v>185</v>
      </c>
      <c r="T3" t="s">
        <v>186</v>
      </c>
    </row>
    <row r="4" spans="1:20" x14ac:dyDescent="0.25">
      <c r="A4">
        <f t="shared" ref="A4:A11" si="2">A$2+B4*($A$12-$A$2)</f>
        <v>150</v>
      </c>
      <c r="B4">
        <v>0.4</v>
      </c>
      <c r="P4" s="14">
        <f t="shared" si="0"/>
        <v>0.40000030000039982</v>
      </c>
      <c r="Q4" s="14">
        <f t="shared" si="1"/>
        <v>9.0000239880122566E-14</v>
      </c>
      <c r="S4">
        <f>MIN(A2:A12)</f>
        <v>50</v>
      </c>
      <c r="T4">
        <f>IF(S4&lt;=MIN($A$2:$A$12),0,IF(S4&gt;=MAX($A$2:$A$12),1,(1/$B$16)*(1-EXP($B$14*(S4-MIN($A$2:$A$12))^$B$15))))</f>
        <v>0</v>
      </c>
    </row>
    <row r="5" spans="1:20" x14ac:dyDescent="0.25">
      <c r="A5">
        <f t="shared" si="2"/>
        <v>175</v>
      </c>
      <c r="B5">
        <v>0.5</v>
      </c>
      <c r="P5" s="14">
        <f t="shared" si="0"/>
        <v>0.50000031252817212</v>
      </c>
      <c r="Q5" s="14">
        <f t="shared" si="1"/>
        <v>9.7673858368333269E-14</v>
      </c>
      <c r="S5">
        <f>S4+(MAX($A$2:$A$12)-$S$4)/50</f>
        <v>55</v>
      </c>
      <c r="T5">
        <f t="shared" ref="T5:T68" si="3">IF(S5&lt;=MIN($A$2:$A$12),0,IF(S5&gt;=MAX($A$2:$A$12),1,(1/$B$16)*(1-EXP($B$14*(S5-MIN($A$2:$A$12))^$B$15))))</f>
        <v>2.0000024479116026E-2</v>
      </c>
    </row>
    <row r="6" spans="1:20" x14ac:dyDescent="0.25">
      <c r="A6">
        <f t="shared" si="2"/>
        <v>200</v>
      </c>
      <c r="B6">
        <v>0.6</v>
      </c>
      <c r="P6" s="14">
        <f t="shared" si="0"/>
        <v>0.60000030000928162</v>
      </c>
      <c r="Q6" s="14">
        <f t="shared" si="1"/>
        <v>9.0005569069936441E-14</v>
      </c>
      <c r="S6">
        <f t="shared" ref="S6:S69" si="4">S5+(MAX($A$2:$A$12)-$S$4)/50</f>
        <v>60</v>
      </c>
      <c r="T6">
        <f t="shared" si="3"/>
        <v>4.000004798123457E-2</v>
      </c>
    </row>
    <row r="7" spans="1:20" x14ac:dyDescent="0.25">
      <c r="A7">
        <f t="shared" si="2"/>
        <v>225</v>
      </c>
      <c r="B7">
        <v>0.7</v>
      </c>
      <c r="P7" s="14">
        <f t="shared" si="0"/>
        <v>0.70000026253254632</v>
      </c>
      <c r="Q7" s="14">
        <f t="shared" si="1"/>
        <v>6.8923337902984627E-14</v>
      </c>
      <c r="S7">
        <f t="shared" si="4"/>
        <v>65</v>
      </c>
      <c r="T7">
        <f t="shared" si="3"/>
        <v>6.0000070506355627E-2</v>
      </c>
    </row>
    <row r="8" spans="1:20" x14ac:dyDescent="0.25">
      <c r="A8">
        <f t="shared" si="2"/>
        <v>250</v>
      </c>
      <c r="B8">
        <v>0.8</v>
      </c>
      <c r="P8" s="14">
        <f t="shared" si="0"/>
        <v>0.8000002000091484</v>
      </c>
      <c r="Q8" s="14">
        <f t="shared" si="1"/>
        <v>4.0003659425490927E-14</v>
      </c>
      <c r="S8">
        <f t="shared" si="4"/>
        <v>70</v>
      </c>
      <c r="T8">
        <f t="shared" si="3"/>
        <v>8.0000092010070231E-2</v>
      </c>
    </row>
    <row r="9" spans="1:20" x14ac:dyDescent="0.25">
      <c r="A9">
        <f t="shared" si="2"/>
        <v>262.5</v>
      </c>
      <c r="B9">
        <v>0.85</v>
      </c>
      <c r="P9" s="14">
        <f t="shared" si="0"/>
        <v>0.8500001593993598</v>
      </c>
      <c r="Q9" s="14">
        <f t="shared" si="1"/>
        <v>2.5408155911843595E-14</v>
      </c>
      <c r="S9">
        <f t="shared" si="4"/>
        <v>75</v>
      </c>
      <c r="T9">
        <f t="shared" si="3"/>
        <v>0.10000011249237836</v>
      </c>
    </row>
    <row r="10" spans="1:20" x14ac:dyDescent="0.25">
      <c r="A10">
        <f t="shared" si="2"/>
        <v>275</v>
      </c>
      <c r="B10">
        <v>0.9</v>
      </c>
      <c r="P10" s="14">
        <f t="shared" si="0"/>
        <v>0.90000011252790557</v>
      </c>
      <c r="Q10" s="14">
        <f t="shared" si="1"/>
        <v>1.2662529527281706E-14</v>
      </c>
      <c r="S10">
        <f t="shared" si="4"/>
        <v>80</v>
      </c>
      <c r="T10">
        <f t="shared" si="3"/>
        <v>0.12000013199768902</v>
      </c>
    </row>
    <row r="11" spans="1:20" x14ac:dyDescent="0.25">
      <c r="A11">
        <f t="shared" si="2"/>
        <v>287.5</v>
      </c>
      <c r="B11">
        <v>0.95</v>
      </c>
      <c r="P11" s="14">
        <f t="shared" si="0"/>
        <v>0.9500000593947856</v>
      </c>
      <c r="Q11" s="14">
        <f t="shared" si="1"/>
        <v>3.5277405618531509E-15</v>
      </c>
      <c r="S11">
        <f t="shared" si="4"/>
        <v>85</v>
      </c>
      <c r="T11">
        <f t="shared" si="3"/>
        <v>0.14000015048159323</v>
      </c>
    </row>
    <row r="12" spans="1:20" x14ac:dyDescent="0.25">
      <c r="A12">
        <v>300</v>
      </c>
      <c r="B12">
        <v>1</v>
      </c>
      <c r="P12" s="14">
        <f t="shared" si="0"/>
        <v>1</v>
      </c>
      <c r="Q12" s="14">
        <f t="shared" si="1"/>
        <v>0</v>
      </c>
      <c r="S12">
        <f t="shared" si="4"/>
        <v>90</v>
      </c>
      <c r="T12">
        <f t="shared" si="3"/>
        <v>0.16000016798849995</v>
      </c>
    </row>
    <row r="13" spans="1:20" x14ac:dyDescent="0.25">
      <c r="S13">
        <f t="shared" si="4"/>
        <v>95</v>
      </c>
      <c r="T13">
        <f t="shared" si="3"/>
        <v>0.18000018451840918</v>
      </c>
    </row>
    <row r="14" spans="1:20" x14ac:dyDescent="0.25">
      <c r="A14" t="s">
        <v>180</v>
      </c>
      <c r="B14" s="15">
        <v>-1E-8</v>
      </c>
      <c r="O14" t="s">
        <v>184</v>
      </c>
      <c r="Q14" s="14">
        <f>SUM(Q2:Q12)</f>
        <v>4.6819809213255078E-13</v>
      </c>
      <c r="S14">
        <f t="shared" si="4"/>
        <v>100</v>
      </c>
      <c r="T14">
        <f t="shared" si="3"/>
        <v>0.20000019998250296</v>
      </c>
    </row>
    <row r="15" spans="1:20" x14ac:dyDescent="0.25">
      <c r="A15" t="s">
        <v>188</v>
      </c>
      <c r="B15" s="14">
        <v>1</v>
      </c>
      <c r="S15">
        <f t="shared" si="4"/>
        <v>105</v>
      </c>
      <c r="T15">
        <f t="shared" si="3"/>
        <v>0.22000021451400825</v>
      </c>
    </row>
    <row r="16" spans="1:20" x14ac:dyDescent="0.25">
      <c r="A16" t="s">
        <v>181</v>
      </c>
      <c r="B16" s="14">
        <f>1-EXP($B$14*(MAX($A$2:$A$12)-MIN($A$2:$A$12))^$B$15)</f>
        <v>2.4999968749606083E-6</v>
      </c>
      <c r="S16">
        <f t="shared" si="4"/>
        <v>110</v>
      </c>
      <c r="T16">
        <f t="shared" si="3"/>
        <v>0.24000022802410709</v>
      </c>
    </row>
    <row r="17" spans="19:20" x14ac:dyDescent="0.25">
      <c r="S17">
        <f t="shared" si="4"/>
        <v>115</v>
      </c>
      <c r="T17">
        <f t="shared" si="3"/>
        <v>0.26000024051279946</v>
      </c>
    </row>
    <row r="18" spans="19:20" x14ac:dyDescent="0.25">
      <c r="S18">
        <f t="shared" si="4"/>
        <v>120</v>
      </c>
      <c r="T18">
        <f t="shared" si="3"/>
        <v>0.28000025202449436</v>
      </c>
    </row>
    <row r="19" spans="19:20" x14ac:dyDescent="0.25">
      <c r="S19">
        <f t="shared" si="4"/>
        <v>125</v>
      </c>
      <c r="T19">
        <f t="shared" si="3"/>
        <v>0.30000026251478279</v>
      </c>
    </row>
    <row r="20" spans="19:20" x14ac:dyDescent="0.25">
      <c r="S20">
        <f t="shared" si="4"/>
        <v>130</v>
      </c>
      <c r="T20">
        <f t="shared" si="3"/>
        <v>0.32000027198366476</v>
      </c>
    </row>
    <row r="21" spans="19:20" x14ac:dyDescent="0.25">
      <c r="S21">
        <f t="shared" si="4"/>
        <v>135</v>
      </c>
      <c r="T21">
        <f t="shared" si="3"/>
        <v>0.34000028051995823</v>
      </c>
    </row>
    <row r="22" spans="19:20" x14ac:dyDescent="0.25">
      <c r="S22">
        <f t="shared" si="4"/>
        <v>140</v>
      </c>
      <c r="T22">
        <f t="shared" si="3"/>
        <v>0.36000028799043621</v>
      </c>
    </row>
    <row r="23" spans="19:20" x14ac:dyDescent="0.25">
      <c r="S23">
        <f t="shared" si="4"/>
        <v>145</v>
      </c>
      <c r="T23">
        <f t="shared" si="3"/>
        <v>0.38000029452832573</v>
      </c>
    </row>
    <row r="24" spans="19:20" x14ac:dyDescent="0.25">
      <c r="S24">
        <f t="shared" si="4"/>
        <v>150</v>
      </c>
      <c r="T24">
        <f t="shared" si="3"/>
        <v>0.40000030000039982</v>
      </c>
    </row>
    <row r="25" spans="19:20" x14ac:dyDescent="0.25">
      <c r="S25">
        <f t="shared" si="4"/>
        <v>155</v>
      </c>
      <c r="T25">
        <f t="shared" si="3"/>
        <v>0.42000030449547643</v>
      </c>
    </row>
    <row r="26" spans="19:20" x14ac:dyDescent="0.25">
      <c r="S26">
        <f t="shared" si="4"/>
        <v>160</v>
      </c>
      <c r="T26">
        <f t="shared" si="3"/>
        <v>0.44000030801355555</v>
      </c>
    </row>
    <row r="27" spans="19:20" x14ac:dyDescent="0.25">
      <c r="S27">
        <f t="shared" si="4"/>
        <v>165</v>
      </c>
      <c r="T27">
        <f t="shared" si="3"/>
        <v>0.46000031051022822</v>
      </c>
    </row>
    <row r="28" spans="19:20" x14ac:dyDescent="0.25">
      <c r="S28">
        <f t="shared" si="4"/>
        <v>170</v>
      </c>
      <c r="T28">
        <f t="shared" si="3"/>
        <v>0.4800003120299034</v>
      </c>
    </row>
    <row r="29" spans="19:20" x14ac:dyDescent="0.25">
      <c r="S29">
        <f t="shared" si="4"/>
        <v>175</v>
      </c>
      <c r="T29">
        <f t="shared" si="3"/>
        <v>0.50000031252817212</v>
      </c>
    </row>
    <row r="30" spans="19:20" x14ac:dyDescent="0.25">
      <c r="S30">
        <f t="shared" si="4"/>
        <v>180</v>
      </c>
      <c r="T30">
        <f t="shared" si="3"/>
        <v>0.52000031200503438</v>
      </c>
    </row>
    <row r="31" spans="19:20" x14ac:dyDescent="0.25">
      <c r="S31">
        <f t="shared" si="4"/>
        <v>185</v>
      </c>
      <c r="T31">
        <f t="shared" si="3"/>
        <v>0.54000031050489916</v>
      </c>
    </row>
    <row r="32" spans="19:20" x14ac:dyDescent="0.25">
      <c r="S32">
        <f t="shared" si="4"/>
        <v>190</v>
      </c>
      <c r="T32">
        <f t="shared" si="3"/>
        <v>0.56000030802776646</v>
      </c>
    </row>
    <row r="33" spans="19:20" x14ac:dyDescent="0.25">
      <c r="S33">
        <f t="shared" si="4"/>
        <v>195</v>
      </c>
      <c r="T33">
        <f t="shared" si="3"/>
        <v>0.58000030452922724</v>
      </c>
    </row>
    <row r="34" spans="19:20" x14ac:dyDescent="0.25">
      <c r="S34">
        <f t="shared" si="4"/>
        <v>200</v>
      </c>
      <c r="T34">
        <f t="shared" si="3"/>
        <v>0.60000030000928162</v>
      </c>
    </row>
    <row r="35" spans="19:20" x14ac:dyDescent="0.25">
      <c r="S35">
        <f t="shared" si="4"/>
        <v>205</v>
      </c>
      <c r="T35">
        <f t="shared" si="3"/>
        <v>0.62000029451233851</v>
      </c>
    </row>
    <row r="36" spans="19:20" x14ac:dyDescent="0.25">
      <c r="S36">
        <f t="shared" si="4"/>
        <v>210</v>
      </c>
      <c r="T36">
        <f t="shared" si="3"/>
        <v>0.640000287993989</v>
      </c>
    </row>
    <row r="37" spans="19:20" x14ac:dyDescent="0.25">
      <c r="S37">
        <f t="shared" si="4"/>
        <v>215</v>
      </c>
      <c r="T37">
        <f t="shared" si="3"/>
        <v>0.6600002804986419</v>
      </c>
    </row>
    <row r="38" spans="19:20" x14ac:dyDescent="0.25">
      <c r="S38">
        <f t="shared" si="4"/>
        <v>220</v>
      </c>
      <c r="T38">
        <f t="shared" si="3"/>
        <v>0.68000027202629743</v>
      </c>
    </row>
    <row r="39" spans="19:20" x14ac:dyDescent="0.25">
      <c r="S39">
        <f t="shared" si="4"/>
        <v>225</v>
      </c>
      <c r="T39">
        <f t="shared" si="3"/>
        <v>0.70000026253254632</v>
      </c>
    </row>
    <row r="40" spans="19:20" x14ac:dyDescent="0.25">
      <c r="S40">
        <f t="shared" si="4"/>
        <v>230</v>
      </c>
      <c r="T40">
        <f t="shared" si="3"/>
        <v>0.72000025201738893</v>
      </c>
    </row>
    <row r="41" spans="19:20" x14ac:dyDescent="0.25">
      <c r="S41">
        <f t="shared" si="4"/>
        <v>235</v>
      </c>
      <c r="T41">
        <f t="shared" si="3"/>
        <v>0.74000024052523394</v>
      </c>
    </row>
    <row r="42" spans="19:20" x14ac:dyDescent="0.25">
      <c r="S42">
        <f t="shared" si="4"/>
        <v>240</v>
      </c>
      <c r="T42">
        <f t="shared" si="3"/>
        <v>0.76000022801167255</v>
      </c>
    </row>
    <row r="43" spans="19:20" x14ac:dyDescent="0.25">
      <c r="S43">
        <f t="shared" si="4"/>
        <v>245</v>
      </c>
      <c r="T43">
        <f t="shared" si="3"/>
        <v>0.78000021452111368</v>
      </c>
    </row>
    <row r="44" spans="19:20" x14ac:dyDescent="0.25">
      <c r="S44">
        <f t="shared" si="4"/>
        <v>250</v>
      </c>
      <c r="T44">
        <f t="shared" si="3"/>
        <v>0.8000002000091484</v>
      </c>
    </row>
    <row r="45" spans="19:20" x14ac:dyDescent="0.25">
      <c r="S45">
        <f t="shared" si="4"/>
        <v>255</v>
      </c>
      <c r="T45">
        <f t="shared" si="3"/>
        <v>0.82000018452018553</v>
      </c>
    </row>
    <row r="46" spans="19:20" x14ac:dyDescent="0.25">
      <c r="S46">
        <f t="shared" si="4"/>
        <v>260</v>
      </c>
      <c r="T46">
        <f t="shared" si="3"/>
        <v>0.84000016800981625</v>
      </c>
    </row>
    <row r="47" spans="19:20" x14ac:dyDescent="0.25">
      <c r="S47">
        <f t="shared" si="4"/>
        <v>265</v>
      </c>
      <c r="T47">
        <f t="shared" si="3"/>
        <v>0.86000015052244949</v>
      </c>
    </row>
    <row r="48" spans="19:20" x14ac:dyDescent="0.25">
      <c r="S48">
        <f t="shared" si="4"/>
        <v>270</v>
      </c>
      <c r="T48">
        <f t="shared" si="3"/>
        <v>0.88000013201367633</v>
      </c>
    </row>
    <row r="49" spans="19:20" x14ac:dyDescent="0.25">
      <c r="S49">
        <f t="shared" si="4"/>
        <v>275</v>
      </c>
      <c r="T49">
        <f t="shared" si="3"/>
        <v>0.90000011252790557</v>
      </c>
    </row>
    <row r="50" spans="19:20" x14ac:dyDescent="0.25">
      <c r="S50">
        <f t="shared" si="4"/>
        <v>280</v>
      </c>
      <c r="T50">
        <f t="shared" si="3"/>
        <v>0.92000009202072841</v>
      </c>
    </row>
    <row r="51" spans="19:20" x14ac:dyDescent="0.25">
      <c r="S51">
        <f t="shared" si="4"/>
        <v>285</v>
      </c>
      <c r="T51">
        <f t="shared" si="3"/>
        <v>0.94000007053655377</v>
      </c>
    </row>
    <row r="52" spans="19:20" x14ac:dyDescent="0.25">
      <c r="S52">
        <f t="shared" si="4"/>
        <v>290</v>
      </c>
      <c r="T52">
        <f t="shared" si="3"/>
        <v>0.96000004803097261</v>
      </c>
    </row>
    <row r="53" spans="19:20" x14ac:dyDescent="0.25">
      <c r="S53">
        <f t="shared" si="4"/>
        <v>295</v>
      </c>
      <c r="T53">
        <f t="shared" si="3"/>
        <v>0.98000002450398505</v>
      </c>
    </row>
    <row r="54" spans="19:20" x14ac:dyDescent="0.25">
      <c r="S54">
        <f t="shared" si="4"/>
        <v>300</v>
      </c>
      <c r="T54">
        <f t="shared" si="3"/>
        <v>1</v>
      </c>
    </row>
    <row r="55" spans="19:20" x14ac:dyDescent="0.25">
      <c r="S55">
        <f t="shared" si="4"/>
        <v>305</v>
      </c>
      <c r="T55">
        <f t="shared" si="3"/>
        <v>1</v>
      </c>
    </row>
    <row r="56" spans="19:20" x14ac:dyDescent="0.25">
      <c r="S56">
        <f t="shared" si="4"/>
        <v>310</v>
      </c>
      <c r="T56">
        <f t="shared" si="3"/>
        <v>1</v>
      </c>
    </row>
    <row r="57" spans="19:20" x14ac:dyDescent="0.25">
      <c r="S57">
        <f t="shared" si="4"/>
        <v>315</v>
      </c>
      <c r="T57">
        <f t="shared" si="3"/>
        <v>1</v>
      </c>
    </row>
    <row r="58" spans="19:20" x14ac:dyDescent="0.25">
      <c r="S58">
        <f t="shared" si="4"/>
        <v>320</v>
      </c>
      <c r="T58">
        <f t="shared" si="3"/>
        <v>1</v>
      </c>
    </row>
    <row r="59" spans="19:20" x14ac:dyDescent="0.25">
      <c r="S59">
        <f t="shared" si="4"/>
        <v>325</v>
      </c>
      <c r="T59">
        <f t="shared" si="3"/>
        <v>1</v>
      </c>
    </row>
    <row r="60" spans="19:20" x14ac:dyDescent="0.25">
      <c r="S60">
        <f t="shared" si="4"/>
        <v>330</v>
      </c>
      <c r="T60">
        <f t="shared" si="3"/>
        <v>1</v>
      </c>
    </row>
    <row r="61" spans="19:20" x14ac:dyDescent="0.25">
      <c r="S61">
        <f t="shared" si="4"/>
        <v>335</v>
      </c>
      <c r="T61">
        <f t="shared" si="3"/>
        <v>1</v>
      </c>
    </row>
    <row r="62" spans="19:20" x14ac:dyDescent="0.25">
      <c r="S62">
        <f t="shared" si="4"/>
        <v>340</v>
      </c>
      <c r="T62">
        <f t="shared" si="3"/>
        <v>1</v>
      </c>
    </row>
    <row r="63" spans="19:20" x14ac:dyDescent="0.25">
      <c r="S63">
        <f t="shared" si="4"/>
        <v>345</v>
      </c>
      <c r="T63">
        <f t="shared" si="3"/>
        <v>1</v>
      </c>
    </row>
    <row r="64" spans="19:20" x14ac:dyDescent="0.25">
      <c r="S64">
        <f t="shared" si="4"/>
        <v>350</v>
      </c>
      <c r="T64">
        <f t="shared" si="3"/>
        <v>1</v>
      </c>
    </row>
    <row r="65" spans="19:20" x14ac:dyDescent="0.25">
      <c r="S65">
        <f t="shared" si="4"/>
        <v>355</v>
      </c>
      <c r="T65">
        <f t="shared" si="3"/>
        <v>1</v>
      </c>
    </row>
    <row r="66" spans="19:20" x14ac:dyDescent="0.25">
      <c r="S66">
        <f t="shared" si="4"/>
        <v>360</v>
      </c>
      <c r="T66">
        <f t="shared" si="3"/>
        <v>1</v>
      </c>
    </row>
    <row r="67" spans="19:20" x14ac:dyDescent="0.25">
      <c r="S67">
        <f t="shared" si="4"/>
        <v>365</v>
      </c>
      <c r="T67">
        <f t="shared" si="3"/>
        <v>1</v>
      </c>
    </row>
    <row r="68" spans="19:20" x14ac:dyDescent="0.25">
      <c r="S68">
        <f t="shared" si="4"/>
        <v>370</v>
      </c>
      <c r="T68">
        <f t="shared" si="3"/>
        <v>1</v>
      </c>
    </row>
    <row r="69" spans="19:20" x14ac:dyDescent="0.25">
      <c r="S69">
        <f t="shared" si="4"/>
        <v>375</v>
      </c>
      <c r="T69">
        <f t="shared" ref="T69:T105" si="5">IF(S69&lt;=MIN($A$2:$A$12),0,IF(S69&gt;=MAX($A$2:$A$12),1,(1/$B$16)*(1-EXP($B$14*(S69-MIN($A$2:$A$12))^$B$15))))</f>
        <v>1</v>
      </c>
    </row>
    <row r="70" spans="19:20" x14ac:dyDescent="0.25">
      <c r="S70">
        <f t="shared" ref="S70:S105" si="6">S69+(MAX($A$2:$A$12)-$S$4)/50</f>
        <v>380</v>
      </c>
      <c r="T70">
        <f t="shared" si="5"/>
        <v>1</v>
      </c>
    </row>
    <row r="71" spans="19:20" x14ac:dyDescent="0.25">
      <c r="S71">
        <f t="shared" si="6"/>
        <v>385</v>
      </c>
      <c r="T71">
        <f t="shared" si="5"/>
        <v>1</v>
      </c>
    </row>
    <row r="72" spans="19:20" x14ac:dyDescent="0.25">
      <c r="S72">
        <f t="shared" si="6"/>
        <v>390</v>
      </c>
      <c r="T72">
        <f t="shared" si="5"/>
        <v>1</v>
      </c>
    </row>
    <row r="73" spans="19:20" x14ac:dyDescent="0.25">
      <c r="S73">
        <f t="shared" si="6"/>
        <v>395</v>
      </c>
      <c r="T73">
        <f t="shared" si="5"/>
        <v>1</v>
      </c>
    </row>
    <row r="74" spans="19:20" x14ac:dyDescent="0.25">
      <c r="S74">
        <f t="shared" si="6"/>
        <v>400</v>
      </c>
      <c r="T74">
        <f t="shared" si="5"/>
        <v>1</v>
      </c>
    </row>
    <row r="75" spans="19:20" x14ac:dyDescent="0.25">
      <c r="S75">
        <f t="shared" si="6"/>
        <v>405</v>
      </c>
      <c r="T75">
        <f t="shared" si="5"/>
        <v>1</v>
      </c>
    </row>
    <row r="76" spans="19:20" x14ac:dyDescent="0.25">
      <c r="S76">
        <f t="shared" si="6"/>
        <v>410</v>
      </c>
      <c r="T76">
        <f t="shared" si="5"/>
        <v>1</v>
      </c>
    </row>
    <row r="77" spans="19:20" x14ac:dyDescent="0.25">
      <c r="S77">
        <f t="shared" si="6"/>
        <v>415</v>
      </c>
      <c r="T77">
        <f t="shared" si="5"/>
        <v>1</v>
      </c>
    </row>
    <row r="78" spans="19:20" x14ac:dyDescent="0.25">
      <c r="S78">
        <f t="shared" si="6"/>
        <v>420</v>
      </c>
      <c r="T78">
        <f t="shared" si="5"/>
        <v>1</v>
      </c>
    </row>
    <row r="79" spans="19:20" x14ac:dyDescent="0.25">
      <c r="S79">
        <f t="shared" si="6"/>
        <v>425</v>
      </c>
      <c r="T79">
        <f t="shared" si="5"/>
        <v>1</v>
      </c>
    </row>
    <row r="80" spans="19:20" x14ac:dyDescent="0.25">
      <c r="S80">
        <f t="shared" si="6"/>
        <v>430</v>
      </c>
      <c r="T80">
        <f t="shared" si="5"/>
        <v>1</v>
      </c>
    </row>
    <row r="81" spans="19:20" x14ac:dyDescent="0.25">
      <c r="S81">
        <f t="shared" si="6"/>
        <v>435</v>
      </c>
      <c r="T81">
        <f t="shared" si="5"/>
        <v>1</v>
      </c>
    </row>
    <row r="82" spans="19:20" x14ac:dyDescent="0.25">
      <c r="S82">
        <f t="shared" si="6"/>
        <v>440</v>
      </c>
      <c r="T82">
        <f t="shared" si="5"/>
        <v>1</v>
      </c>
    </row>
    <row r="83" spans="19:20" x14ac:dyDescent="0.25">
      <c r="S83">
        <f t="shared" si="6"/>
        <v>445</v>
      </c>
      <c r="T83">
        <f t="shared" si="5"/>
        <v>1</v>
      </c>
    </row>
    <row r="84" spans="19:20" x14ac:dyDescent="0.25">
      <c r="S84">
        <f t="shared" si="6"/>
        <v>450</v>
      </c>
      <c r="T84">
        <f t="shared" si="5"/>
        <v>1</v>
      </c>
    </row>
    <row r="85" spans="19:20" x14ac:dyDescent="0.25">
      <c r="S85">
        <f t="shared" si="6"/>
        <v>455</v>
      </c>
      <c r="T85">
        <f t="shared" si="5"/>
        <v>1</v>
      </c>
    </row>
    <row r="86" spans="19:20" x14ac:dyDescent="0.25">
      <c r="S86">
        <f t="shared" si="6"/>
        <v>460</v>
      </c>
      <c r="T86">
        <f t="shared" si="5"/>
        <v>1</v>
      </c>
    </row>
    <row r="87" spans="19:20" x14ac:dyDescent="0.25">
      <c r="S87">
        <f t="shared" si="6"/>
        <v>465</v>
      </c>
      <c r="T87">
        <f t="shared" si="5"/>
        <v>1</v>
      </c>
    </row>
    <row r="88" spans="19:20" x14ac:dyDescent="0.25">
      <c r="S88">
        <f t="shared" si="6"/>
        <v>470</v>
      </c>
      <c r="T88">
        <f t="shared" si="5"/>
        <v>1</v>
      </c>
    </row>
    <row r="89" spans="19:20" x14ac:dyDescent="0.25">
      <c r="S89">
        <f t="shared" si="6"/>
        <v>475</v>
      </c>
      <c r="T89">
        <f t="shared" si="5"/>
        <v>1</v>
      </c>
    </row>
    <row r="90" spans="19:20" x14ac:dyDescent="0.25">
      <c r="S90">
        <f t="shared" si="6"/>
        <v>480</v>
      </c>
      <c r="T90">
        <f t="shared" si="5"/>
        <v>1</v>
      </c>
    </row>
    <row r="91" spans="19:20" x14ac:dyDescent="0.25">
      <c r="S91">
        <f t="shared" si="6"/>
        <v>485</v>
      </c>
      <c r="T91">
        <f t="shared" si="5"/>
        <v>1</v>
      </c>
    </row>
    <row r="92" spans="19:20" x14ac:dyDescent="0.25">
      <c r="S92">
        <f t="shared" si="6"/>
        <v>490</v>
      </c>
      <c r="T92">
        <f t="shared" si="5"/>
        <v>1</v>
      </c>
    </row>
    <row r="93" spans="19:20" x14ac:dyDescent="0.25">
      <c r="S93">
        <f t="shared" si="6"/>
        <v>495</v>
      </c>
      <c r="T93">
        <f t="shared" si="5"/>
        <v>1</v>
      </c>
    </row>
    <row r="94" spans="19:20" x14ac:dyDescent="0.25">
      <c r="S94">
        <f t="shared" si="6"/>
        <v>500</v>
      </c>
      <c r="T94">
        <f t="shared" si="5"/>
        <v>1</v>
      </c>
    </row>
    <row r="95" spans="19:20" x14ac:dyDescent="0.25">
      <c r="S95">
        <f t="shared" si="6"/>
        <v>505</v>
      </c>
      <c r="T95">
        <f t="shared" si="5"/>
        <v>1</v>
      </c>
    </row>
    <row r="96" spans="19:20" x14ac:dyDescent="0.25">
      <c r="S96">
        <f t="shared" si="6"/>
        <v>510</v>
      </c>
      <c r="T96">
        <f t="shared" si="5"/>
        <v>1</v>
      </c>
    </row>
    <row r="97" spans="19:20" x14ac:dyDescent="0.25">
      <c r="S97">
        <f t="shared" si="6"/>
        <v>515</v>
      </c>
      <c r="T97">
        <f t="shared" si="5"/>
        <v>1</v>
      </c>
    </row>
    <row r="98" spans="19:20" x14ac:dyDescent="0.25">
      <c r="S98">
        <f t="shared" si="6"/>
        <v>520</v>
      </c>
      <c r="T98">
        <f t="shared" si="5"/>
        <v>1</v>
      </c>
    </row>
    <row r="99" spans="19:20" x14ac:dyDescent="0.25">
      <c r="S99">
        <f t="shared" si="6"/>
        <v>525</v>
      </c>
      <c r="T99">
        <f t="shared" si="5"/>
        <v>1</v>
      </c>
    </row>
    <row r="100" spans="19:20" x14ac:dyDescent="0.25">
      <c r="S100">
        <f t="shared" si="6"/>
        <v>530</v>
      </c>
      <c r="T100">
        <f t="shared" si="5"/>
        <v>1</v>
      </c>
    </row>
    <row r="101" spans="19:20" x14ac:dyDescent="0.25">
      <c r="S101">
        <f t="shared" si="6"/>
        <v>535</v>
      </c>
      <c r="T101">
        <f t="shared" si="5"/>
        <v>1</v>
      </c>
    </row>
    <row r="102" spans="19:20" x14ac:dyDescent="0.25">
      <c r="S102">
        <f t="shared" si="6"/>
        <v>540</v>
      </c>
      <c r="T102">
        <f t="shared" si="5"/>
        <v>1</v>
      </c>
    </row>
    <row r="103" spans="19:20" x14ac:dyDescent="0.25">
      <c r="S103">
        <f t="shared" si="6"/>
        <v>545</v>
      </c>
      <c r="T103">
        <f t="shared" si="5"/>
        <v>1</v>
      </c>
    </row>
    <row r="104" spans="19:20" x14ac:dyDescent="0.25">
      <c r="S104">
        <f t="shared" si="6"/>
        <v>550</v>
      </c>
      <c r="T104">
        <f t="shared" si="5"/>
        <v>1</v>
      </c>
    </row>
    <row r="105" spans="19:20" x14ac:dyDescent="0.25">
      <c r="S105">
        <f t="shared" si="6"/>
        <v>555</v>
      </c>
      <c r="T105">
        <f t="shared" si="5"/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C1" workbookViewId="0">
      <selection activeCell="T14" sqref="T14"/>
    </sheetView>
  </sheetViews>
  <sheetFormatPr defaultRowHeight="15" x14ac:dyDescent="0.25"/>
  <cols>
    <col min="1" max="1" width="14.7109375" bestFit="1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20" x14ac:dyDescent="0.25">
      <c r="A1" s="16" t="s">
        <v>216</v>
      </c>
      <c r="B1" s="16" t="s">
        <v>179</v>
      </c>
      <c r="P1" t="s">
        <v>182</v>
      </c>
      <c r="Q1" t="s">
        <v>183</v>
      </c>
    </row>
    <row r="2" spans="1:20" x14ac:dyDescent="0.25">
      <c r="A2">
        <v>0.16500000000000001</v>
      </c>
      <c r="B2">
        <v>0</v>
      </c>
      <c r="P2" s="14">
        <f>(1-EXP($B$14*(MAX($A$2:$A$12)-A2)^$B$15))/$B$16</f>
        <v>0</v>
      </c>
      <c r="Q2" s="14">
        <f>(P2-B2)^2</f>
        <v>0</v>
      </c>
    </row>
    <row r="3" spans="1:20" x14ac:dyDescent="0.25">
      <c r="A3">
        <f>A$2+B3*($A$12-$A$2)</f>
        <v>0.13500000000000001</v>
      </c>
      <c r="B3">
        <v>0.2</v>
      </c>
      <c r="P3" s="14">
        <f t="shared" ref="P3:P12" si="0">(1-EXP($B$14*(MAX($A$2:$A$12)-A3)^$B$15))/$B$16</f>
        <v>0.20000002960594926</v>
      </c>
      <c r="Q3" s="14">
        <f t="shared" ref="Q3:Q12" si="1">(P3-B3)^2</f>
        <v>8.7651223085881424E-16</v>
      </c>
      <c r="S3" t="s">
        <v>185</v>
      </c>
      <c r="T3" t="s">
        <v>186</v>
      </c>
    </row>
    <row r="4" spans="1:20" x14ac:dyDescent="0.25">
      <c r="A4">
        <f t="shared" ref="A4:A11" si="2">A$2+B4*($A$12-$A$2)</f>
        <v>0.105</v>
      </c>
      <c r="B4">
        <v>0.4</v>
      </c>
      <c r="P4" s="14">
        <f t="shared" si="0"/>
        <v>0.40000005921189852</v>
      </c>
      <c r="Q4" s="14">
        <f t="shared" si="1"/>
        <v>3.506048923435257E-15</v>
      </c>
      <c r="S4">
        <f>MIN(A2:A12)</f>
        <v>1.4999999999999999E-2</v>
      </c>
      <c r="T4">
        <f>IF(S4&lt;=MIN($A$2:$A$12),1,IF(S4&gt;=MAX($A$2:$A$12),0,(1/$B$16)*(1-EXP($B$14*(MAX($A$2:$A$12)-S4)^$B$15))))</f>
        <v>1</v>
      </c>
    </row>
    <row r="5" spans="1:20" x14ac:dyDescent="0.25">
      <c r="A5">
        <f t="shared" si="2"/>
        <v>0.09</v>
      </c>
      <c r="B5">
        <v>0.5</v>
      </c>
      <c r="P5" s="14">
        <f t="shared" si="0"/>
        <v>0.50000007401487312</v>
      </c>
      <c r="Q5" s="14">
        <f t="shared" si="1"/>
        <v>5.4782014428675894E-15</v>
      </c>
      <c r="S5">
        <f>S4+(MAX($A$2:$A$12)-$S$4)/50</f>
        <v>1.7999999999999999E-2</v>
      </c>
      <c r="T5">
        <f t="shared" ref="T5:T68" si="3">IF(S5&lt;=MIN($A$2:$A$12),1,IF(S5&gt;=MAX($A$2:$A$12),0,(1/$B$16)*(1-EXP($B$14*(MAX($A$2:$A$12)-S5)^$B$15))))</f>
        <v>0.9799999970394051</v>
      </c>
    </row>
    <row r="6" spans="1:20" x14ac:dyDescent="0.25">
      <c r="A6">
        <f t="shared" si="2"/>
        <v>7.4999999999999997E-2</v>
      </c>
      <c r="B6">
        <v>0.6</v>
      </c>
      <c r="P6" s="14">
        <f t="shared" si="0"/>
        <v>0.60000008881784772</v>
      </c>
      <c r="Q6" s="14">
        <f t="shared" si="1"/>
        <v>7.888610077729328E-15</v>
      </c>
      <c r="S6">
        <f t="shared" ref="S6:S69" si="4">S5+(MAX($A$2:$A$12)-$S$4)/50</f>
        <v>2.0999999999999998E-2</v>
      </c>
      <c r="T6">
        <f t="shared" si="3"/>
        <v>0.9599999940788102</v>
      </c>
    </row>
    <row r="7" spans="1:20" x14ac:dyDescent="0.25">
      <c r="A7">
        <f t="shared" si="2"/>
        <v>0.06</v>
      </c>
      <c r="B7">
        <v>0.7</v>
      </c>
      <c r="P7" s="14">
        <f t="shared" si="0"/>
        <v>0.70000010362082243</v>
      </c>
      <c r="Q7" s="14">
        <f t="shared" si="1"/>
        <v>1.0737274851028919E-14</v>
      </c>
      <c r="S7">
        <f t="shared" si="4"/>
        <v>2.3999999999999997E-2</v>
      </c>
      <c r="T7">
        <f t="shared" si="3"/>
        <v>0.93999999111821531</v>
      </c>
    </row>
    <row r="8" spans="1:20" x14ac:dyDescent="0.25">
      <c r="A8">
        <f t="shared" si="2"/>
        <v>4.4999999999999984E-2</v>
      </c>
      <c r="B8">
        <v>0.8</v>
      </c>
      <c r="P8" s="14">
        <f t="shared" si="0"/>
        <v>0.80000011842379704</v>
      </c>
      <c r="Q8" s="14">
        <f t="shared" si="1"/>
        <v>1.4024195693741028E-14</v>
      </c>
      <c r="S8">
        <f t="shared" si="4"/>
        <v>2.6999999999999996E-2</v>
      </c>
      <c r="T8">
        <f t="shared" si="3"/>
        <v>0.91999998815762041</v>
      </c>
    </row>
    <row r="9" spans="1:20" x14ac:dyDescent="0.25">
      <c r="A9">
        <f t="shared" si="2"/>
        <v>3.7500000000000006E-2</v>
      </c>
      <c r="B9">
        <v>0.85</v>
      </c>
      <c r="P9" s="14">
        <f t="shared" si="0"/>
        <v>0.85000012582528439</v>
      </c>
      <c r="Q9" s="14">
        <f t="shared" si="1"/>
        <v>1.5832002197826158E-14</v>
      </c>
      <c r="S9">
        <f t="shared" si="4"/>
        <v>2.9999999999999995E-2</v>
      </c>
      <c r="T9">
        <f t="shared" si="3"/>
        <v>0.90000013322677175</v>
      </c>
    </row>
    <row r="10" spans="1:20" x14ac:dyDescent="0.25">
      <c r="A10">
        <f t="shared" si="2"/>
        <v>2.9999999999999971E-2</v>
      </c>
      <c r="B10">
        <v>0.9</v>
      </c>
      <c r="P10" s="14">
        <f t="shared" si="0"/>
        <v>0.90000013322677164</v>
      </c>
      <c r="Q10" s="14">
        <f t="shared" si="1"/>
        <v>1.7749372674890989E-14</v>
      </c>
      <c r="S10">
        <f t="shared" si="4"/>
        <v>3.2999999999999995E-2</v>
      </c>
      <c r="T10">
        <f t="shared" si="3"/>
        <v>0.88000013026617674</v>
      </c>
    </row>
    <row r="11" spans="1:20" x14ac:dyDescent="0.25">
      <c r="A11">
        <f t="shared" si="2"/>
        <v>2.2499999999999992E-2</v>
      </c>
      <c r="B11">
        <v>0.95</v>
      </c>
      <c r="P11" s="14">
        <f t="shared" si="0"/>
        <v>0.94999999259851264</v>
      </c>
      <c r="Q11" s="14">
        <f t="shared" si="1"/>
        <v>5.478201442867589E-17</v>
      </c>
      <c r="S11">
        <f t="shared" si="4"/>
        <v>3.5999999999999997E-2</v>
      </c>
      <c r="T11">
        <f t="shared" si="3"/>
        <v>0.86000012730558184</v>
      </c>
    </row>
    <row r="12" spans="1:20" x14ac:dyDescent="0.25">
      <c r="A12">
        <v>1.4999999999999999E-2</v>
      </c>
      <c r="B12">
        <v>1</v>
      </c>
      <c r="P12" s="14">
        <f t="shared" si="0"/>
        <v>1</v>
      </c>
      <c r="Q12" s="14">
        <f t="shared" si="1"/>
        <v>0</v>
      </c>
      <c r="S12">
        <f t="shared" si="4"/>
        <v>3.9E-2</v>
      </c>
      <c r="T12">
        <f t="shared" si="3"/>
        <v>0.84000012434498694</v>
      </c>
    </row>
    <row r="13" spans="1:20" x14ac:dyDescent="0.25">
      <c r="S13">
        <f t="shared" si="4"/>
        <v>4.2000000000000003E-2</v>
      </c>
      <c r="T13">
        <f t="shared" si="3"/>
        <v>0.82000012138439204</v>
      </c>
    </row>
    <row r="14" spans="1:20" x14ac:dyDescent="0.25">
      <c r="A14" t="s">
        <v>180</v>
      </c>
      <c r="B14" s="15">
        <v>1E-8</v>
      </c>
      <c r="O14" t="s">
        <v>184</v>
      </c>
      <c r="Q14" s="14">
        <f>SUM(Q2:Q12)</f>
        <v>7.6147000106806762E-14</v>
      </c>
      <c r="S14">
        <f t="shared" si="4"/>
        <v>4.5000000000000005E-2</v>
      </c>
      <c r="T14">
        <f t="shared" si="3"/>
        <v>0.80000011842379704</v>
      </c>
    </row>
    <row r="15" spans="1:20" x14ac:dyDescent="0.25">
      <c r="A15" t="s">
        <v>188</v>
      </c>
      <c r="B15" s="14">
        <v>1</v>
      </c>
      <c r="S15">
        <f t="shared" si="4"/>
        <v>4.8000000000000008E-2</v>
      </c>
      <c r="T15">
        <f t="shared" si="3"/>
        <v>0.78000011546320214</v>
      </c>
    </row>
    <row r="16" spans="1:20" x14ac:dyDescent="0.25">
      <c r="A16" t="s">
        <v>181</v>
      </c>
      <c r="B16" s="14">
        <f>1-EXP($B$14*(MAX($A$2:$A$12)-MIN($A$2:$A$12))^$B$15)</f>
        <v>-1.4999999020659516E-9</v>
      </c>
      <c r="S16">
        <f t="shared" si="4"/>
        <v>5.1000000000000011E-2</v>
      </c>
      <c r="T16">
        <f t="shared" si="3"/>
        <v>0.76000011250260724</v>
      </c>
    </row>
    <row r="17" spans="19:20" x14ac:dyDescent="0.25">
      <c r="S17">
        <f t="shared" si="4"/>
        <v>5.4000000000000013E-2</v>
      </c>
      <c r="T17">
        <f t="shared" si="3"/>
        <v>0.74000010954201234</v>
      </c>
    </row>
    <row r="18" spans="19:20" x14ac:dyDescent="0.25">
      <c r="S18">
        <f t="shared" si="4"/>
        <v>5.7000000000000016E-2</v>
      </c>
      <c r="T18">
        <f t="shared" si="3"/>
        <v>0.72000010658141733</v>
      </c>
    </row>
    <row r="19" spans="19:20" x14ac:dyDescent="0.25">
      <c r="S19">
        <f t="shared" si="4"/>
        <v>6.0000000000000019E-2</v>
      </c>
      <c r="T19">
        <f t="shared" si="3"/>
        <v>0.70000010362082243</v>
      </c>
    </row>
    <row r="20" spans="19:20" x14ac:dyDescent="0.25">
      <c r="S20">
        <f t="shared" si="4"/>
        <v>6.3000000000000014E-2</v>
      </c>
      <c r="T20">
        <f t="shared" si="3"/>
        <v>0.68000010066022754</v>
      </c>
    </row>
    <row r="21" spans="19:20" x14ac:dyDescent="0.25">
      <c r="S21">
        <f t="shared" si="4"/>
        <v>6.6000000000000017E-2</v>
      </c>
      <c r="T21">
        <f t="shared" si="3"/>
        <v>0.66000009769963264</v>
      </c>
    </row>
    <row r="22" spans="19:20" x14ac:dyDescent="0.25">
      <c r="S22">
        <f t="shared" si="4"/>
        <v>6.900000000000002E-2</v>
      </c>
      <c r="T22">
        <f t="shared" si="3"/>
        <v>0.64000009473903763</v>
      </c>
    </row>
    <row r="23" spans="19:20" x14ac:dyDescent="0.25">
      <c r="S23">
        <f t="shared" si="4"/>
        <v>7.2000000000000022E-2</v>
      </c>
      <c r="T23">
        <f t="shared" si="3"/>
        <v>0.62000009177844273</v>
      </c>
    </row>
    <row r="24" spans="19:20" x14ac:dyDescent="0.25">
      <c r="S24">
        <f t="shared" si="4"/>
        <v>7.5000000000000025E-2</v>
      </c>
      <c r="T24">
        <f t="shared" si="3"/>
        <v>0.60000008881784783</v>
      </c>
    </row>
    <row r="25" spans="19:20" x14ac:dyDescent="0.25">
      <c r="S25">
        <f t="shared" si="4"/>
        <v>7.8000000000000028E-2</v>
      </c>
      <c r="T25">
        <f t="shared" si="3"/>
        <v>0.58000008585725282</v>
      </c>
    </row>
    <row r="26" spans="19:20" x14ac:dyDescent="0.25">
      <c r="S26">
        <f t="shared" si="4"/>
        <v>8.100000000000003E-2</v>
      </c>
      <c r="T26">
        <f t="shared" si="3"/>
        <v>0.56000008289665792</v>
      </c>
    </row>
    <row r="27" spans="19:20" x14ac:dyDescent="0.25">
      <c r="S27">
        <f t="shared" si="4"/>
        <v>8.4000000000000033E-2</v>
      </c>
      <c r="T27">
        <f t="shared" si="3"/>
        <v>0.54000007993606303</v>
      </c>
    </row>
    <row r="28" spans="19:20" x14ac:dyDescent="0.25">
      <c r="S28">
        <f t="shared" si="4"/>
        <v>8.7000000000000036E-2</v>
      </c>
      <c r="T28">
        <f t="shared" si="3"/>
        <v>0.52000007697546813</v>
      </c>
    </row>
    <row r="29" spans="19:20" x14ac:dyDescent="0.25">
      <c r="S29">
        <f t="shared" si="4"/>
        <v>9.0000000000000038E-2</v>
      </c>
      <c r="T29">
        <f t="shared" si="3"/>
        <v>0.50000007401487312</v>
      </c>
    </row>
    <row r="30" spans="19:20" x14ac:dyDescent="0.25">
      <c r="S30">
        <f t="shared" si="4"/>
        <v>9.3000000000000041E-2</v>
      </c>
      <c r="T30">
        <f t="shared" si="3"/>
        <v>0.48000007105427822</v>
      </c>
    </row>
    <row r="31" spans="19:20" x14ac:dyDescent="0.25">
      <c r="S31">
        <f t="shared" si="4"/>
        <v>9.6000000000000044E-2</v>
      </c>
      <c r="T31">
        <f t="shared" si="3"/>
        <v>0.46000006809368332</v>
      </c>
    </row>
    <row r="32" spans="19:20" x14ac:dyDescent="0.25">
      <c r="S32">
        <f t="shared" si="4"/>
        <v>9.9000000000000046E-2</v>
      </c>
      <c r="T32">
        <f t="shared" si="3"/>
        <v>0.44000006513308837</v>
      </c>
    </row>
    <row r="33" spans="19:20" x14ac:dyDescent="0.25">
      <c r="S33">
        <f t="shared" si="4"/>
        <v>0.10200000000000005</v>
      </c>
      <c r="T33">
        <f t="shared" si="3"/>
        <v>0.42000006217249347</v>
      </c>
    </row>
    <row r="34" spans="19:20" x14ac:dyDescent="0.25">
      <c r="S34">
        <f t="shared" si="4"/>
        <v>0.10500000000000005</v>
      </c>
      <c r="T34">
        <f t="shared" si="3"/>
        <v>0.40000005921189852</v>
      </c>
    </row>
    <row r="35" spans="19:20" x14ac:dyDescent="0.25">
      <c r="S35">
        <f t="shared" si="4"/>
        <v>0.10800000000000005</v>
      </c>
      <c r="T35">
        <f t="shared" si="3"/>
        <v>0.38000005625130362</v>
      </c>
    </row>
    <row r="36" spans="19:20" x14ac:dyDescent="0.25">
      <c r="S36">
        <f t="shared" si="4"/>
        <v>0.11100000000000006</v>
      </c>
      <c r="T36">
        <f t="shared" si="3"/>
        <v>0.36000005329070867</v>
      </c>
    </row>
    <row r="37" spans="19:20" x14ac:dyDescent="0.25">
      <c r="S37">
        <f t="shared" si="4"/>
        <v>0.11400000000000006</v>
      </c>
      <c r="T37">
        <f t="shared" si="3"/>
        <v>0.34000005033011377</v>
      </c>
    </row>
    <row r="38" spans="19:20" x14ac:dyDescent="0.25">
      <c r="S38">
        <f t="shared" si="4"/>
        <v>0.11700000000000006</v>
      </c>
      <c r="T38">
        <f t="shared" si="3"/>
        <v>0.32000004736951881</v>
      </c>
    </row>
    <row r="39" spans="19:20" x14ac:dyDescent="0.25">
      <c r="S39">
        <f t="shared" si="4"/>
        <v>0.12000000000000006</v>
      </c>
      <c r="T39">
        <f t="shared" si="3"/>
        <v>0.30000004440892392</v>
      </c>
    </row>
    <row r="40" spans="19:20" x14ac:dyDescent="0.25">
      <c r="S40">
        <f t="shared" si="4"/>
        <v>0.12300000000000007</v>
      </c>
      <c r="T40">
        <f t="shared" si="3"/>
        <v>0.28000004144832896</v>
      </c>
    </row>
    <row r="41" spans="19:20" x14ac:dyDescent="0.25">
      <c r="S41">
        <f t="shared" si="4"/>
        <v>0.12600000000000006</v>
      </c>
      <c r="T41">
        <f t="shared" si="3"/>
        <v>0.26000003848773406</v>
      </c>
    </row>
    <row r="42" spans="19:20" x14ac:dyDescent="0.25">
      <c r="S42">
        <f t="shared" si="4"/>
        <v>0.12900000000000006</v>
      </c>
      <c r="T42">
        <f t="shared" si="3"/>
        <v>0.24000003552713911</v>
      </c>
    </row>
    <row r="43" spans="19:20" x14ac:dyDescent="0.25">
      <c r="S43">
        <f t="shared" si="4"/>
        <v>0.13200000000000006</v>
      </c>
      <c r="T43">
        <f t="shared" si="3"/>
        <v>0.22000003256654418</v>
      </c>
    </row>
    <row r="44" spans="19:20" x14ac:dyDescent="0.25">
      <c r="S44">
        <f t="shared" si="4"/>
        <v>0.13500000000000006</v>
      </c>
      <c r="T44">
        <f t="shared" si="3"/>
        <v>0.20000002960594926</v>
      </c>
    </row>
    <row r="45" spans="19:20" x14ac:dyDescent="0.25">
      <c r="S45">
        <f t="shared" si="4"/>
        <v>0.13800000000000007</v>
      </c>
      <c r="T45">
        <f t="shared" si="3"/>
        <v>0.18000002664535433</v>
      </c>
    </row>
    <row r="46" spans="19:20" x14ac:dyDescent="0.25">
      <c r="S46">
        <f t="shared" si="4"/>
        <v>0.14100000000000007</v>
      </c>
      <c r="T46">
        <f t="shared" si="3"/>
        <v>0.16000002368475941</v>
      </c>
    </row>
    <row r="47" spans="19:20" x14ac:dyDescent="0.25">
      <c r="S47">
        <f t="shared" si="4"/>
        <v>0.14400000000000007</v>
      </c>
      <c r="T47">
        <f t="shared" si="3"/>
        <v>0.14000002072416448</v>
      </c>
    </row>
    <row r="48" spans="19:20" x14ac:dyDescent="0.25">
      <c r="S48">
        <f t="shared" si="4"/>
        <v>0.14700000000000008</v>
      </c>
      <c r="T48">
        <f t="shared" si="3"/>
        <v>0.12000001776356956</v>
      </c>
    </row>
    <row r="49" spans="19:20" x14ac:dyDescent="0.25">
      <c r="S49">
        <f t="shared" si="4"/>
        <v>0.15000000000000008</v>
      </c>
      <c r="T49">
        <f t="shared" si="3"/>
        <v>0.10000001480297463</v>
      </c>
    </row>
    <row r="50" spans="19:20" x14ac:dyDescent="0.25">
      <c r="S50">
        <f t="shared" si="4"/>
        <v>0.15300000000000008</v>
      </c>
      <c r="T50">
        <f t="shared" si="3"/>
        <v>8.0000011842379704E-2</v>
      </c>
    </row>
    <row r="51" spans="19:20" x14ac:dyDescent="0.25">
      <c r="S51">
        <f t="shared" si="4"/>
        <v>0.15600000000000008</v>
      </c>
      <c r="T51">
        <f t="shared" si="3"/>
        <v>6.0000008881784778E-2</v>
      </c>
    </row>
    <row r="52" spans="19:20" x14ac:dyDescent="0.25">
      <c r="S52">
        <f t="shared" si="4"/>
        <v>0.15900000000000009</v>
      </c>
      <c r="T52">
        <f t="shared" si="3"/>
        <v>4.0000005921189852E-2</v>
      </c>
    </row>
    <row r="53" spans="19:20" x14ac:dyDescent="0.25">
      <c r="S53">
        <f t="shared" si="4"/>
        <v>0.16200000000000009</v>
      </c>
      <c r="T53">
        <f t="shared" si="3"/>
        <v>2.0000002960594926E-2</v>
      </c>
    </row>
    <row r="54" spans="19:20" x14ac:dyDescent="0.25">
      <c r="S54">
        <f t="shared" si="4"/>
        <v>0.16500000000000009</v>
      </c>
      <c r="T54">
        <f t="shared" si="3"/>
        <v>0</v>
      </c>
    </row>
    <row r="55" spans="19:20" x14ac:dyDescent="0.25">
      <c r="S55">
        <f t="shared" si="4"/>
        <v>0.16800000000000009</v>
      </c>
      <c r="T55">
        <f t="shared" si="3"/>
        <v>0</v>
      </c>
    </row>
    <row r="56" spans="19:20" x14ac:dyDescent="0.25">
      <c r="S56">
        <f t="shared" si="4"/>
        <v>0.1710000000000001</v>
      </c>
      <c r="T56">
        <f t="shared" si="3"/>
        <v>0</v>
      </c>
    </row>
    <row r="57" spans="19:20" x14ac:dyDescent="0.25">
      <c r="S57">
        <f t="shared" si="4"/>
        <v>0.1740000000000001</v>
      </c>
      <c r="T57">
        <f t="shared" si="3"/>
        <v>0</v>
      </c>
    </row>
    <row r="58" spans="19:20" x14ac:dyDescent="0.25">
      <c r="S58">
        <f t="shared" si="4"/>
        <v>0.1770000000000001</v>
      </c>
      <c r="T58">
        <f t="shared" si="3"/>
        <v>0</v>
      </c>
    </row>
    <row r="59" spans="19:20" x14ac:dyDescent="0.25">
      <c r="S59">
        <f t="shared" si="4"/>
        <v>0.1800000000000001</v>
      </c>
      <c r="T59">
        <f t="shared" si="3"/>
        <v>0</v>
      </c>
    </row>
    <row r="60" spans="19:20" x14ac:dyDescent="0.25">
      <c r="S60">
        <f t="shared" si="4"/>
        <v>0.18300000000000011</v>
      </c>
      <c r="T60">
        <f t="shared" si="3"/>
        <v>0</v>
      </c>
    </row>
    <row r="61" spans="19:20" x14ac:dyDescent="0.25">
      <c r="S61">
        <f t="shared" si="4"/>
        <v>0.18600000000000011</v>
      </c>
      <c r="T61">
        <f t="shared" si="3"/>
        <v>0</v>
      </c>
    </row>
    <row r="62" spans="19:20" x14ac:dyDescent="0.25">
      <c r="S62">
        <f t="shared" si="4"/>
        <v>0.18900000000000011</v>
      </c>
      <c r="T62">
        <f t="shared" si="3"/>
        <v>0</v>
      </c>
    </row>
    <row r="63" spans="19:20" x14ac:dyDescent="0.25">
      <c r="S63">
        <f t="shared" si="4"/>
        <v>0.19200000000000012</v>
      </c>
      <c r="T63">
        <f t="shared" si="3"/>
        <v>0</v>
      </c>
    </row>
    <row r="64" spans="19:20" x14ac:dyDescent="0.25">
      <c r="S64">
        <f t="shared" si="4"/>
        <v>0.19500000000000012</v>
      </c>
      <c r="T64">
        <f t="shared" si="3"/>
        <v>0</v>
      </c>
    </row>
    <row r="65" spans="19:20" x14ac:dyDescent="0.25">
      <c r="S65">
        <f t="shared" si="4"/>
        <v>0.19800000000000012</v>
      </c>
      <c r="T65">
        <f t="shared" si="3"/>
        <v>0</v>
      </c>
    </row>
    <row r="66" spans="19:20" x14ac:dyDescent="0.25">
      <c r="S66">
        <f t="shared" si="4"/>
        <v>0.20100000000000012</v>
      </c>
      <c r="T66">
        <f t="shared" si="3"/>
        <v>0</v>
      </c>
    </row>
    <row r="67" spans="19:20" x14ac:dyDescent="0.25">
      <c r="S67">
        <f t="shared" si="4"/>
        <v>0.20400000000000013</v>
      </c>
      <c r="T67">
        <f t="shared" si="3"/>
        <v>0</v>
      </c>
    </row>
    <row r="68" spans="19:20" x14ac:dyDescent="0.25">
      <c r="S68">
        <f t="shared" si="4"/>
        <v>0.20700000000000013</v>
      </c>
      <c r="T68">
        <f t="shared" si="3"/>
        <v>0</v>
      </c>
    </row>
    <row r="69" spans="19:20" x14ac:dyDescent="0.25">
      <c r="S69">
        <f t="shared" si="4"/>
        <v>0.21000000000000013</v>
      </c>
      <c r="T69">
        <f t="shared" ref="T69:T105" si="5">IF(S69&lt;=MIN($A$2:$A$12),1,IF(S69&gt;=MAX($A$2:$A$12),0,(1/$B$16)*(1-EXP($B$14*(MAX($A$2:$A$12)-S69)^$B$15))))</f>
        <v>0</v>
      </c>
    </row>
    <row r="70" spans="19:20" x14ac:dyDescent="0.25">
      <c r="S70">
        <f t="shared" ref="S70:S105" si="6">S69+(MAX($A$2:$A$12)-$S$4)/50</f>
        <v>0.21300000000000013</v>
      </c>
      <c r="T70">
        <f t="shared" si="5"/>
        <v>0</v>
      </c>
    </row>
    <row r="71" spans="19:20" x14ac:dyDescent="0.25">
      <c r="S71">
        <f t="shared" si="6"/>
        <v>0.21600000000000014</v>
      </c>
      <c r="T71">
        <f t="shared" si="5"/>
        <v>0</v>
      </c>
    </row>
    <row r="72" spans="19:20" x14ac:dyDescent="0.25">
      <c r="S72">
        <f t="shared" si="6"/>
        <v>0.21900000000000014</v>
      </c>
      <c r="T72">
        <f t="shared" si="5"/>
        <v>0</v>
      </c>
    </row>
    <row r="73" spans="19:20" x14ac:dyDescent="0.25">
      <c r="S73">
        <f t="shared" si="6"/>
        <v>0.22200000000000014</v>
      </c>
      <c r="T73">
        <f t="shared" si="5"/>
        <v>0</v>
      </c>
    </row>
    <row r="74" spans="19:20" x14ac:dyDescent="0.25">
      <c r="S74">
        <f t="shared" si="6"/>
        <v>0.22500000000000014</v>
      </c>
      <c r="T74">
        <f t="shared" si="5"/>
        <v>0</v>
      </c>
    </row>
    <row r="75" spans="19:20" x14ac:dyDescent="0.25">
      <c r="S75">
        <f t="shared" si="6"/>
        <v>0.22800000000000015</v>
      </c>
      <c r="T75">
        <f t="shared" si="5"/>
        <v>0</v>
      </c>
    </row>
    <row r="76" spans="19:20" x14ac:dyDescent="0.25">
      <c r="S76">
        <f t="shared" si="6"/>
        <v>0.23100000000000015</v>
      </c>
      <c r="T76">
        <f t="shared" si="5"/>
        <v>0</v>
      </c>
    </row>
    <row r="77" spans="19:20" x14ac:dyDescent="0.25">
      <c r="S77">
        <f t="shared" si="6"/>
        <v>0.23400000000000015</v>
      </c>
      <c r="T77">
        <f t="shared" si="5"/>
        <v>0</v>
      </c>
    </row>
    <row r="78" spans="19:20" x14ac:dyDescent="0.25">
      <c r="S78">
        <f t="shared" si="6"/>
        <v>0.23700000000000015</v>
      </c>
      <c r="T78">
        <f t="shared" si="5"/>
        <v>0</v>
      </c>
    </row>
    <row r="79" spans="19:20" x14ac:dyDescent="0.25">
      <c r="S79">
        <f t="shared" si="6"/>
        <v>0.24000000000000016</v>
      </c>
      <c r="T79">
        <f t="shared" si="5"/>
        <v>0</v>
      </c>
    </row>
    <row r="80" spans="19:20" x14ac:dyDescent="0.25">
      <c r="S80">
        <f t="shared" si="6"/>
        <v>0.24300000000000016</v>
      </c>
      <c r="T80">
        <f t="shared" si="5"/>
        <v>0</v>
      </c>
    </row>
    <row r="81" spans="19:20" x14ac:dyDescent="0.25">
      <c r="S81">
        <f t="shared" si="6"/>
        <v>0.24600000000000016</v>
      </c>
      <c r="T81">
        <f t="shared" si="5"/>
        <v>0</v>
      </c>
    </row>
    <row r="82" spans="19:20" x14ac:dyDescent="0.25">
      <c r="S82">
        <f t="shared" si="6"/>
        <v>0.24900000000000017</v>
      </c>
      <c r="T82">
        <f t="shared" si="5"/>
        <v>0</v>
      </c>
    </row>
    <row r="83" spans="19:20" x14ac:dyDescent="0.25">
      <c r="S83">
        <f t="shared" si="6"/>
        <v>0.25200000000000017</v>
      </c>
      <c r="T83">
        <f t="shared" si="5"/>
        <v>0</v>
      </c>
    </row>
    <row r="84" spans="19:20" x14ac:dyDescent="0.25">
      <c r="S84">
        <f t="shared" si="6"/>
        <v>0.25500000000000017</v>
      </c>
      <c r="T84">
        <f t="shared" si="5"/>
        <v>0</v>
      </c>
    </row>
    <row r="85" spans="19:20" x14ac:dyDescent="0.25">
      <c r="S85">
        <f t="shared" si="6"/>
        <v>0.25800000000000017</v>
      </c>
      <c r="T85">
        <f t="shared" si="5"/>
        <v>0</v>
      </c>
    </row>
    <row r="86" spans="19:20" x14ac:dyDescent="0.25">
      <c r="S86">
        <f t="shared" si="6"/>
        <v>0.26100000000000018</v>
      </c>
      <c r="T86">
        <f t="shared" si="5"/>
        <v>0</v>
      </c>
    </row>
    <row r="87" spans="19:20" x14ac:dyDescent="0.25">
      <c r="S87">
        <f t="shared" si="6"/>
        <v>0.26400000000000018</v>
      </c>
      <c r="T87">
        <f t="shared" si="5"/>
        <v>0</v>
      </c>
    </row>
    <row r="88" spans="19:20" x14ac:dyDescent="0.25">
      <c r="S88">
        <f t="shared" si="6"/>
        <v>0.26700000000000018</v>
      </c>
      <c r="T88">
        <f t="shared" si="5"/>
        <v>0</v>
      </c>
    </row>
    <row r="89" spans="19:20" x14ac:dyDescent="0.25">
      <c r="S89">
        <f t="shared" si="6"/>
        <v>0.27000000000000018</v>
      </c>
      <c r="T89">
        <f t="shared" si="5"/>
        <v>0</v>
      </c>
    </row>
    <row r="90" spans="19:20" x14ac:dyDescent="0.25">
      <c r="S90">
        <f t="shared" si="6"/>
        <v>0.27300000000000019</v>
      </c>
      <c r="T90">
        <f t="shared" si="5"/>
        <v>0</v>
      </c>
    </row>
    <row r="91" spans="19:20" x14ac:dyDescent="0.25">
      <c r="S91">
        <f t="shared" si="6"/>
        <v>0.27600000000000019</v>
      </c>
      <c r="T91">
        <f t="shared" si="5"/>
        <v>0</v>
      </c>
    </row>
    <row r="92" spans="19:20" x14ac:dyDescent="0.25">
      <c r="S92">
        <f t="shared" si="6"/>
        <v>0.27900000000000019</v>
      </c>
      <c r="T92">
        <f t="shared" si="5"/>
        <v>0</v>
      </c>
    </row>
    <row r="93" spans="19:20" x14ac:dyDescent="0.25">
      <c r="S93">
        <f t="shared" si="6"/>
        <v>0.28200000000000019</v>
      </c>
      <c r="T93">
        <f t="shared" si="5"/>
        <v>0</v>
      </c>
    </row>
    <row r="94" spans="19:20" x14ac:dyDescent="0.25">
      <c r="S94">
        <f t="shared" si="6"/>
        <v>0.2850000000000002</v>
      </c>
      <c r="T94">
        <f t="shared" si="5"/>
        <v>0</v>
      </c>
    </row>
    <row r="95" spans="19:20" x14ac:dyDescent="0.25">
      <c r="S95">
        <f t="shared" si="6"/>
        <v>0.2880000000000002</v>
      </c>
      <c r="T95">
        <f t="shared" si="5"/>
        <v>0</v>
      </c>
    </row>
    <row r="96" spans="19:20" x14ac:dyDescent="0.25">
      <c r="S96">
        <f t="shared" si="6"/>
        <v>0.2910000000000002</v>
      </c>
      <c r="T96">
        <f t="shared" si="5"/>
        <v>0</v>
      </c>
    </row>
    <row r="97" spans="19:20" x14ac:dyDescent="0.25">
      <c r="S97">
        <f t="shared" si="6"/>
        <v>0.29400000000000021</v>
      </c>
      <c r="T97">
        <f t="shared" si="5"/>
        <v>0</v>
      </c>
    </row>
    <row r="98" spans="19:20" x14ac:dyDescent="0.25">
      <c r="S98">
        <f t="shared" si="6"/>
        <v>0.29700000000000021</v>
      </c>
      <c r="T98">
        <f t="shared" si="5"/>
        <v>0</v>
      </c>
    </row>
    <row r="99" spans="19:20" x14ac:dyDescent="0.25">
      <c r="S99">
        <f t="shared" si="6"/>
        <v>0.30000000000000021</v>
      </c>
      <c r="T99">
        <f t="shared" si="5"/>
        <v>0</v>
      </c>
    </row>
    <row r="100" spans="19:20" x14ac:dyDescent="0.25">
      <c r="S100">
        <f t="shared" si="6"/>
        <v>0.30300000000000021</v>
      </c>
      <c r="T100">
        <f t="shared" si="5"/>
        <v>0</v>
      </c>
    </row>
    <row r="101" spans="19:20" x14ac:dyDescent="0.25">
      <c r="S101">
        <f t="shared" si="6"/>
        <v>0.30600000000000022</v>
      </c>
      <c r="T101">
        <f t="shared" si="5"/>
        <v>0</v>
      </c>
    </row>
    <row r="102" spans="19:20" x14ac:dyDescent="0.25">
      <c r="S102">
        <f t="shared" si="6"/>
        <v>0.30900000000000022</v>
      </c>
      <c r="T102">
        <f t="shared" si="5"/>
        <v>0</v>
      </c>
    </row>
    <row r="103" spans="19:20" x14ac:dyDescent="0.25">
      <c r="S103">
        <f t="shared" si="6"/>
        <v>0.31200000000000022</v>
      </c>
      <c r="T103">
        <f t="shared" si="5"/>
        <v>0</v>
      </c>
    </row>
    <row r="104" spans="19:20" x14ac:dyDescent="0.25">
      <c r="S104">
        <f t="shared" si="6"/>
        <v>0.31500000000000022</v>
      </c>
      <c r="T104">
        <f t="shared" si="5"/>
        <v>0</v>
      </c>
    </row>
    <row r="105" spans="19:20" x14ac:dyDescent="0.25">
      <c r="S105">
        <f t="shared" si="6"/>
        <v>0.31800000000000023</v>
      </c>
      <c r="T105">
        <f t="shared" si="5"/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6" sqref="B6"/>
    </sheetView>
  </sheetViews>
  <sheetFormatPr defaultRowHeight="15" x14ac:dyDescent="0.25"/>
  <cols>
    <col min="1" max="1" width="10.28515625" customWidth="1"/>
    <col min="2" max="2" width="14.5703125" bestFit="1" customWidth="1"/>
    <col min="16" max="16" width="15.7109375" bestFit="1" customWidth="1"/>
    <col min="17" max="17" width="18.7109375" bestFit="1" customWidth="1"/>
  </cols>
  <sheetData>
    <row r="1" spans="1:17" x14ac:dyDescent="0.25">
      <c r="A1" s="16" t="s">
        <v>5</v>
      </c>
      <c r="B1" s="16" t="s">
        <v>179</v>
      </c>
    </row>
    <row r="2" spans="1:17" x14ac:dyDescent="0.25">
      <c r="A2" t="s">
        <v>88</v>
      </c>
      <c r="B2">
        <v>0</v>
      </c>
      <c r="P2" s="14"/>
      <c r="Q2" s="14"/>
    </row>
    <row r="3" spans="1:17" x14ac:dyDescent="0.25">
      <c r="A3" t="s">
        <v>94</v>
      </c>
      <c r="B3">
        <v>1</v>
      </c>
      <c r="P3" s="14"/>
      <c r="Q3" s="14"/>
    </row>
    <row r="4" spans="1:17" x14ac:dyDescent="0.25">
      <c r="P4" s="14"/>
      <c r="Q4" s="14"/>
    </row>
    <row r="5" spans="1:17" x14ac:dyDescent="0.25">
      <c r="P5" s="14"/>
      <c r="Q5" s="14"/>
    </row>
    <row r="6" spans="1:17" x14ac:dyDescent="0.25">
      <c r="P6" s="14"/>
      <c r="Q6" s="14"/>
    </row>
    <row r="7" spans="1:17" x14ac:dyDescent="0.25">
      <c r="P7" s="14"/>
      <c r="Q7" s="14"/>
    </row>
    <row r="8" spans="1:17" x14ac:dyDescent="0.25">
      <c r="P8" s="14"/>
      <c r="Q8" s="14"/>
    </row>
    <row r="9" spans="1:17" x14ac:dyDescent="0.25">
      <c r="P9" s="14"/>
      <c r="Q9" s="14"/>
    </row>
    <row r="10" spans="1:17" x14ac:dyDescent="0.25">
      <c r="P10" s="14"/>
      <c r="Q10" s="14"/>
    </row>
    <row r="11" spans="1:17" x14ac:dyDescent="0.25">
      <c r="P11" s="14"/>
      <c r="Q11" s="14"/>
    </row>
    <row r="12" spans="1:17" x14ac:dyDescent="0.25">
      <c r="P12" s="14"/>
      <c r="Q12" s="14"/>
    </row>
    <row r="14" spans="1:17" x14ac:dyDescent="0.25">
      <c r="B14" s="15"/>
      <c r="Q14" s="14"/>
    </row>
    <row r="15" spans="1:17" x14ac:dyDescent="0.25">
      <c r="B15" s="14"/>
    </row>
    <row r="16" spans="1:17" x14ac:dyDescent="0.25">
      <c r="B16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1</vt:i4>
      </vt:variant>
    </vt:vector>
  </HeadingPairs>
  <TitlesOfParts>
    <vt:vector size="17" baseType="lpstr">
      <vt:lpstr>Aerial Platform</vt:lpstr>
      <vt:lpstr>Comm Payload</vt:lpstr>
      <vt:lpstr>Useful load</vt:lpstr>
      <vt:lpstr>Ceiling</vt:lpstr>
      <vt:lpstr>Endurance</vt:lpstr>
      <vt:lpstr>Range</vt:lpstr>
      <vt:lpstr>Cruise speed</vt:lpstr>
      <vt:lpstr>Observability</vt:lpstr>
      <vt:lpstr>Stealth</vt:lpstr>
      <vt:lpstr>Technology maturity</vt:lpstr>
      <vt:lpstr>All weather</vt:lpstr>
      <vt:lpstr>Man portability</vt:lpstr>
      <vt:lpstr>Launch method</vt:lpstr>
      <vt:lpstr>Recovery method</vt:lpstr>
      <vt:lpstr>Tradeoff weights</vt:lpstr>
      <vt:lpstr>MoE</vt:lpstr>
      <vt:lpstr>Cost effectiveness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2014-05-23T21:37:49Z</dcterms:modified>
</cp:coreProperties>
</file>